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8855" windowHeight="3960" tabRatio="599" activeTab="0"/>
  </bookViews>
  <sheets>
    <sheet name="Resident" sheetId="1" r:id="rId1"/>
    <sheet name="Non-Resident" sheetId="2" r:id="rId2"/>
  </sheets>
  <definedNames>
    <definedName name="_xlnm.Print_Area" localSheetId="1">'Non-Resident'!$A$1:$O$71</definedName>
    <definedName name="_xlnm.Print_Area" localSheetId="0">'Resident'!$A$1:$O$71</definedName>
    <definedName name="_xlnm.Print_Titles" localSheetId="1">'Non-Resident'!$1:$5</definedName>
    <definedName name="_xlnm.Print_Titles" localSheetId="0">'Resident'!$1:$5</definedName>
  </definedNames>
  <calcPr fullCalcOnLoad="1"/>
</workbook>
</file>

<file path=xl/sharedStrings.xml><?xml version="1.0" encoding="utf-8"?>
<sst xmlns="http://schemas.openxmlformats.org/spreadsheetml/2006/main" count="181" uniqueCount="82">
  <si>
    <t>Change</t>
  </si>
  <si>
    <t>Undergraduate</t>
  </si>
  <si>
    <t>Business</t>
  </si>
  <si>
    <t>Engineering</t>
  </si>
  <si>
    <t>Graduate</t>
  </si>
  <si>
    <t>MBA Business</t>
  </si>
  <si>
    <t>Other Business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</si>
  <si>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</si>
  <si>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</si>
  <si>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</si>
  <si>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</si>
  <si>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</si>
  <si>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</si>
  <si>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</si>
  <si>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</si>
  <si>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All Lower Division</t>
  </si>
  <si>
    <t>$</t>
  </si>
  <si>
    <t>%</t>
  </si>
  <si>
    <t>Total</t>
  </si>
  <si>
    <t>Tuition</t>
  </si>
  <si>
    <t>Level III-Bus/Eng/Geropsychology</t>
  </si>
  <si>
    <t>Level II-GSPA/Education</t>
  </si>
  <si>
    <t>Level I-All Other</t>
  </si>
  <si>
    <t>Level IV-Nursing</t>
  </si>
  <si>
    <t>Upper Division--Nursing</t>
  </si>
  <si>
    <t>Footnotes:</t>
  </si>
  <si>
    <t>Journalism / Music</t>
  </si>
  <si>
    <t>Arts &amp; Sciences / All Other</t>
  </si>
  <si>
    <t>Genetic Counseling</t>
  </si>
  <si>
    <t>Upper Division--LAS / Education</t>
  </si>
  <si>
    <t>Upper Division--Business / Engineering</t>
  </si>
  <si>
    <t>Business / Non-Degree</t>
  </si>
  <si>
    <t>Basic Clinical Science</t>
  </si>
  <si>
    <t>Undergraduate, Incoming</t>
  </si>
  <si>
    <t>All Upper Division</t>
  </si>
  <si>
    <t xml:space="preserve">Public Affairs </t>
  </si>
  <si>
    <t xml:space="preserve"> </t>
  </si>
  <si>
    <t>Doctor of Nursing Practice</t>
  </si>
  <si>
    <t>MBA Business (1st Year)</t>
  </si>
  <si>
    <t>Lower Division</t>
  </si>
  <si>
    <t>Masters Law</t>
  </si>
  <si>
    <t>Law JD</t>
  </si>
  <si>
    <t>Law JD (1st Year)</t>
  </si>
  <si>
    <t xml:space="preserve">Doctor of Medicine  </t>
  </si>
  <si>
    <t>Doctor of Dental Surgery</t>
  </si>
  <si>
    <t>Doctor of Physical Therapy</t>
  </si>
  <si>
    <t>Doctor of Pharmacy</t>
  </si>
  <si>
    <t>Denver Campus</t>
  </si>
  <si>
    <t>FY 2012 Cost of Attendance</t>
  </si>
  <si>
    <t>Public Health, MPH</t>
  </si>
  <si>
    <t>Public Health, DrPH</t>
  </si>
  <si>
    <t xml:space="preserve">Nursing, MS </t>
  </si>
  <si>
    <t>Nursing, PhD</t>
  </si>
  <si>
    <t>Medicine Accountable Students</t>
  </si>
  <si>
    <t>Dentistry Accountable Students</t>
  </si>
  <si>
    <t>N/A</t>
  </si>
  <si>
    <t>FY 2013 Cost of Attendance</t>
  </si>
  <si>
    <t>Nursing, RN to BS</t>
  </si>
  <si>
    <t>Physician Assistant Studies</t>
  </si>
  <si>
    <t>Biostats/Epi/Health Svc Research, PhD</t>
  </si>
  <si>
    <t>Biostatistics/Epidemiology, MS</t>
  </si>
  <si>
    <t>Resident Full-Time (30 Credit Hours)</t>
  </si>
  <si>
    <t>a:  Resident undergraduate tuition rates do not include the amount offset by the College Opportunity Fund for eligible students.</t>
  </si>
  <si>
    <t>d:  Other is a CCHE approved annual allowance for books and supplies, medical, transportation and personal expenses.</t>
  </si>
  <si>
    <t xml:space="preserve">Modern Anatomy </t>
  </si>
  <si>
    <r>
      <t>Pharmacy</t>
    </r>
    <r>
      <rPr>
        <vertAlign val="superscript"/>
        <sz val="10"/>
        <rFont val="Arial"/>
        <family val="2"/>
      </rPr>
      <t xml:space="preserve"> f</t>
    </r>
  </si>
  <si>
    <t>c:  Room and Board for UCB and UCCS undergraduates is the actual rate for a double on campus.  Room and board for the Denver campus is for Campus Village and is an estimate for FY 13. For all others, it is a CCHE approved annual allowance.</t>
  </si>
  <si>
    <t>f:  Graduate Pharmacy tuition rate is capped at 9 credit hours a term or 18 credit hours per academic year.</t>
  </si>
  <si>
    <t>e:  Academic year for several programs at AMC is considered above 30 credit hours; for consistency purposes COA was calculated on 30 credit hours</t>
  </si>
  <si>
    <t>b:  Fees presented do not include instructional program or course fees.</t>
  </si>
  <si>
    <r>
      <t>Anschutz Medical Campus</t>
    </r>
    <r>
      <rPr>
        <b/>
        <vertAlign val="superscript"/>
        <sz val="11"/>
        <rFont val="Arial"/>
        <family val="2"/>
      </rPr>
      <t>e</t>
    </r>
  </si>
  <si>
    <t>Campus</t>
  </si>
  <si>
    <r>
      <t>Pharmacy</t>
    </r>
    <r>
      <rPr>
        <vertAlign val="superscript"/>
        <sz val="10"/>
        <rFont val="Arial"/>
        <family val="2"/>
      </rPr>
      <t>f</t>
    </r>
  </si>
  <si>
    <t>Non-Resident Full-Time (30 Credit Hours)</t>
  </si>
  <si>
    <t>University of Colorado FY 2013 Academic Year Tuition and Fee Rates</t>
  </si>
  <si>
    <r>
      <t>Tuition</t>
    </r>
    <r>
      <rPr>
        <b/>
        <vertAlign val="superscript"/>
        <sz val="10"/>
        <color indexed="9"/>
        <rFont val="Arial"/>
        <family val="2"/>
      </rPr>
      <t>a</t>
    </r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</si>
  <si>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</si>
  <si>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</si>
  <si>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</si>
  <si>
    <r>
      <t xml:space="preserve">Fees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</si>
  <si>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d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</si>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</sst>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>
        <color rgb="FFCFB87C"/>
      </right>
      <top/>
      <bottom style="thin"/>
    </border>
    <border>
      <left/>
      <right/>
      <top style="medium"/>
      <bottom/>
    </border>
    <border>
      <left style="thin">
        <color theme="0"/>
      </left>
      <right/>
      <top style="medium"/>
      <bottom style="thin">
        <color theme="0"/>
      </bottom>
    </border>
    <border>
      <left style="medium"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/>
      <right style="medium">
        <color theme="0"/>
      </right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/>
      <right style="medium"/>
      <top style="medium"/>
      <bottom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/>
      <right style="medium">
        <color theme="0"/>
      </right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thin">
        <color theme="0"/>
      </left>
      <right>
        <color indexed="63"/>
      </right>
      <top>
        <color indexed="63"/>
      </top>
      <bottom style="thin"/>
    </border>
    <border>
      <left/>
      <right style="medium">
        <color theme="0"/>
      </right>
      <top/>
      <bottom style="thin"/>
    </border>
    <border>
      <left/>
      <right style="thin">
        <color theme="0"/>
      </right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9" fontId="0" fillId="0" borderId="0" xfId="66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Font="1" applyAlignment="1">
      <alignment/>
    </xf>
    <xf numFmtId="6" fontId="0" fillId="0" borderId="17" xfId="63" applyNumberFormat="1" applyFont="1" applyBorder="1">
      <alignment/>
      <protection/>
    </xf>
    <xf numFmtId="6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6" fontId="0" fillId="0" borderId="1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6" fontId="0" fillId="0" borderId="17" xfId="0" applyNumberFormat="1" applyFont="1" applyFill="1" applyBorder="1" applyAlignment="1">
      <alignment vertical="center"/>
    </xf>
    <xf numFmtId="6" fontId="0" fillId="0" borderId="18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6" fontId="0" fillId="0" borderId="18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57" applyFont="1" applyFill="1" applyBorder="1">
      <alignment/>
      <protection/>
    </xf>
    <xf numFmtId="0" fontId="0" fillId="0" borderId="16" xfId="57" applyFont="1" applyFill="1" applyBorder="1">
      <alignment/>
      <protection/>
    </xf>
    <xf numFmtId="164" fontId="0" fillId="0" borderId="19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/>
    </xf>
    <xf numFmtId="6" fontId="0" fillId="0" borderId="18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8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/>
    </xf>
    <xf numFmtId="6" fontId="0" fillId="0" borderId="16" xfId="0" applyNumberFormat="1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14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6" fontId="0" fillId="0" borderId="11" xfId="0" applyNumberFormat="1" applyFont="1" applyFill="1" applyBorder="1" applyAlignment="1">
      <alignment horizontal="right" vertical="center"/>
    </xf>
    <xf numFmtId="6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6" fontId="0" fillId="0" borderId="11" xfId="0" applyNumberFormat="1" applyFont="1" applyBorder="1" applyAlignment="1">
      <alignment horizontal="right" vertical="center"/>
    </xf>
    <xf numFmtId="6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6" fontId="0" fillId="0" borderId="1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6" fontId="0" fillId="0" borderId="12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164" fontId="0" fillId="0" borderId="11" xfId="0" applyNumberFormat="1" applyFont="1" applyFill="1" applyBorder="1" applyAlignment="1">
      <alignment horizontal="left" indent="2"/>
    </xf>
    <xf numFmtId="0" fontId="7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6" fontId="0" fillId="33" borderId="21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6" fontId="0" fillId="33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5" fillId="34" borderId="23" xfId="0" applyFont="1" applyFill="1" applyBorder="1" applyAlignment="1">
      <alignment vertical="center"/>
    </xf>
    <xf numFmtId="0" fontId="45" fillId="34" borderId="2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wrapText="1"/>
    </xf>
    <xf numFmtId="0" fontId="45" fillId="35" borderId="25" xfId="0" applyFont="1" applyFill="1" applyBorder="1" applyAlignment="1">
      <alignment vertical="center"/>
    </xf>
    <xf numFmtId="0" fontId="45" fillId="35" borderId="26" xfId="0" applyFont="1" applyFill="1" applyBorder="1" applyAlignment="1">
      <alignment horizontal="centerContinuous" vertical="center" wrapText="1"/>
    </xf>
    <xf numFmtId="0" fontId="45" fillId="35" borderId="27" xfId="0" applyFont="1" applyFill="1" applyBorder="1" applyAlignment="1">
      <alignment horizontal="centerContinuous" vertical="center" wrapText="1"/>
    </xf>
    <xf numFmtId="0" fontId="45" fillId="35" borderId="28" xfId="0" applyFont="1" applyFill="1" applyBorder="1" applyAlignment="1">
      <alignment horizontal="centerContinuous" vertical="center" wrapText="1"/>
    </xf>
    <xf numFmtId="0" fontId="45" fillId="35" borderId="29" xfId="0" applyFont="1" applyFill="1" applyBorder="1" applyAlignment="1">
      <alignment horizontal="centerContinuous" vertical="center" wrapText="1"/>
    </xf>
    <xf numFmtId="0" fontId="45" fillId="35" borderId="30" xfId="0" applyFont="1" applyFill="1" applyBorder="1" applyAlignment="1">
      <alignment horizontal="centerContinuous" vertical="center" wrapText="1"/>
    </xf>
    <xf numFmtId="0" fontId="45" fillId="35" borderId="31" xfId="0" applyFont="1" applyFill="1" applyBorder="1" applyAlignment="1">
      <alignment horizontal="centerContinuous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45" fillId="35" borderId="32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/>
    </xf>
    <xf numFmtId="0" fontId="45" fillId="35" borderId="33" xfId="0" applyFont="1" applyFill="1" applyBorder="1" applyAlignment="1">
      <alignment horizontal="center" vertical="center"/>
    </xf>
    <xf numFmtId="0" fontId="45" fillId="35" borderId="34" xfId="0" applyFont="1" applyFill="1" applyBorder="1" applyAlignment="1">
      <alignment horizontal="center" vertical="center"/>
    </xf>
    <xf numFmtId="164" fontId="45" fillId="35" borderId="35" xfId="0" applyNumberFormat="1" applyFont="1" applyFill="1" applyBorder="1" applyAlignment="1">
      <alignment horizontal="center" vertical="center"/>
    </xf>
    <xf numFmtId="0" fontId="45" fillId="35" borderId="36" xfId="0" applyFont="1" applyFill="1" applyBorder="1" applyAlignment="1">
      <alignment horizontal="center" vertical="center"/>
    </xf>
    <xf numFmtId="164" fontId="45" fillId="35" borderId="37" xfId="0" applyNumberFormat="1" applyFont="1" applyFill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/>
    </xf>
    <xf numFmtId="0" fontId="45" fillId="35" borderId="25" xfId="0" applyFont="1" applyFill="1" applyBorder="1" applyAlignment="1">
      <alignment/>
    </xf>
    <xf numFmtId="0" fontId="45" fillId="35" borderId="26" xfId="0" applyFont="1" applyFill="1" applyBorder="1" applyAlignment="1" quotePrefix="1">
      <alignment horizontal="centerContinuous"/>
    </xf>
    <xf numFmtId="0" fontId="45" fillId="35" borderId="30" xfId="0" applyFont="1" applyFill="1" applyBorder="1" applyAlignment="1">
      <alignment horizontal="centerContinuous"/>
    </xf>
    <xf numFmtId="0" fontId="45" fillId="35" borderId="29" xfId="0" applyFont="1" applyFill="1" applyBorder="1" applyAlignment="1">
      <alignment horizontal="centerContinuous"/>
    </xf>
    <xf numFmtId="0" fontId="45" fillId="35" borderId="30" xfId="0" applyFont="1" applyFill="1" applyBorder="1" applyAlignment="1" quotePrefix="1">
      <alignment horizontal="centerContinuous"/>
    </xf>
    <xf numFmtId="0" fontId="45" fillId="35" borderId="31" xfId="0" applyFont="1" applyFill="1" applyBorder="1" applyAlignment="1">
      <alignment horizontal="centerContinuous"/>
    </xf>
    <xf numFmtId="0" fontId="45" fillId="35" borderId="25" xfId="0" applyFont="1" applyFill="1" applyBorder="1" applyAlignment="1">
      <alignment horizontal="center"/>
    </xf>
    <xf numFmtId="0" fontId="45" fillId="35" borderId="32" xfId="0" applyFont="1" applyFill="1" applyBorder="1" applyAlignment="1">
      <alignment horizontal="center"/>
    </xf>
    <xf numFmtId="0" fontId="45" fillId="35" borderId="39" xfId="0" applyFont="1" applyFill="1" applyBorder="1" applyAlignment="1">
      <alignment horizontal="left" vertical="top"/>
    </xf>
    <xf numFmtId="0" fontId="45" fillId="35" borderId="0" xfId="0" applyFont="1" applyFill="1" applyBorder="1" applyAlignment="1">
      <alignment horizontal="centerContinuous"/>
    </xf>
    <xf numFmtId="0" fontId="45" fillId="35" borderId="4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164" fontId="45" fillId="35" borderId="41" xfId="0" applyNumberFormat="1" applyFont="1" applyFill="1" applyBorder="1" applyAlignment="1">
      <alignment horizontal="center"/>
    </xf>
    <xf numFmtId="164" fontId="45" fillId="35" borderId="42" xfId="0" applyNumberFormat="1" applyFont="1" applyFill="1" applyBorder="1" applyAlignment="1">
      <alignment horizontal="center"/>
    </xf>
    <xf numFmtId="164" fontId="45" fillId="35" borderId="1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4 3" xfId="62"/>
    <cellStyle name="Normal_Regents Tuition Options, 4-option request 2007 05 09 for FA and bursar w rate chang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2.00390625" style="16" customWidth="1"/>
    <col min="2" max="2" width="2.28125" style="16" customWidth="1"/>
    <col min="3" max="3" width="33.57421875" style="16" customWidth="1"/>
    <col min="4" max="5" width="9.28125" style="16" customWidth="1"/>
    <col min="6" max="6" width="9.140625" style="16" customWidth="1"/>
    <col min="7" max="7" width="9.28125" style="16" customWidth="1"/>
    <col min="8" max="8" width="9.28125" style="29" customWidth="1"/>
    <col min="9" max="11" width="9.28125" style="16" customWidth="1"/>
    <col min="12" max="12" width="9.140625" style="16" customWidth="1"/>
    <col min="13" max="13" width="9.28125" style="29" customWidth="1"/>
    <col min="14" max="14" width="9.28125" style="16" customWidth="1"/>
    <col min="15" max="15" width="9.28125" style="29" customWidth="1"/>
    <col min="16" max="18" width="8.8515625" style="15" customWidth="1"/>
    <col min="19" max="19" width="10.57421875" style="15" customWidth="1"/>
    <col min="20" max="23" width="8.8515625" style="15" customWidth="1"/>
    <col min="24" max="16384" width="9.140625" style="16" customWidth="1"/>
  </cols>
  <sheetData>
    <row r="1" spans="1:15" ht="18">
      <c r="A1" s="86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8">
      <c r="A2" s="86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8.7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3" s="1" customFormat="1" ht="18.75" customHeight="1">
      <c r="A4" s="101"/>
      <c r="B4" s="104"/>
      <c r="C4" s="104"/>
      <c r="D4" s="105" t="s">
        <v>48</v>
      </c>
      <c r="E4" s="106"/>
      <c r="F4" s="107"/>
      <c r="G4" s="106"/>
      <c r="H4" s="108"/>
      <c r="I4" s="109" t="s">
        <v>56</v>
      </c>
      <c r="J4" s="106"/>
      <c r="K4" s="107"/>
      <c r="L4" s="106"/>
      <c r="M4" s="110"/>
      <c r="N4" s="111" t="s">
        <v>16</v>
      </c>
      <c r="O4" s="112" t="s">
        <v>17</v>
      </c>
      <c r="P4" s="2"/>
      <c r="Q4" s="2"/>
      <c r="R4" s="2"/>
      <c r="S4" s="2"/>
      <c r="T4" s="2"/>
      <c r="U4" s="2"/>
      <c r="V4" s="2"/>
      <c r="W4" s="2"/>
    </row>
    <row r="5" spans="1:23" s="1" customFormat="1" ht="18.75" customHeight="1">
      <c r="A5" s="102" t="s">
        <v>71</v>
      </c>
      <c r="B5" s="113"/>
      <c r="C5" s="114"/>
      <c r="D5" s="115" t="s">
        <v>75</v>
      </c>
      <c r="E5" s="116" t="s">
        <v>76</v>
      </c>
      <c r="F5" s="116" t="s">
        <v>77</v>
      </c>
      <c r="G5" s="116" t="s">
        <v>78</v>
      </c>
      <c r="H5" s="117" t="s">
        <v>18</v>
      </c>
      <c r="I5" s="118" t="s">
        <v>75</v>
      </c>
      <c r="J5" s="116" t="s">
        <v>76</v>
      </c>
      <c r="K5" s="116" t="s">
        <v>77</v>
      </c>
      <c r="L5" s="116" t="s">
        <v>78</v>
      </c>
      <c r="M5" s="119" t="s">
        <v>18</v>
      </c>
      <c r="N5" s="120" t="s">
        <v>0</v>
      </c>
      <c r="O5" s="121" t="s">
        <v>0</v>
      </c>
      <c r="P5" s="2"/>
      <c r="Q5" s="2"/>
      <c r="R5" s="2"/>
      <c r="S5" s="2"/>
      <c r="T5" s="2"/>
      <c r="U5" s="2"/>
      <c r="V5" s="2"/>
      <c r="W5" s="2"/>
    </row>
    <row r="6" spans="1:15" ht="15">
      <c r="A6" s="92" t="s">
        <v>13</v>
      </c>
      <c r="B6" s="93"/>
      <c r="C6" s="93"/>
      <c r="D6" s="93"/>
      <c r="E6" s="93"/>
      <c r="F6" s="93"/>
      <c r="G6" s="93"/>
      <c r="H6" s="97"/>
      <c r="I6" s="93"/>
      <c r="J6" s="93"/>
      <c r="K6" s="93"/>
      <c r="L6" s="93"/>
      <c r="M6" s="97"/>
      <c r="N6" s="93"/>
      <c r="O6" s="95"/>
    </row>
    <row r="7" spans="1:15" ht="14.25">
      <c r="A7" s="88"/>
      <c r="B7" s="73" t="s">
        <v>1</v>
      </c>
      <c r="C7" s="73"/>
      <c r="D7" s="72"/>
      <c r="E7" s="73"/>
      <c r="F7" s="73"/>
      <c r="G7" s="73"/>
      <c r="H7" s="79"/>
      <c r="I7" s="72"/>
      <c r="J7" s="73"/>
      <c r="K7" s="73"/>
      <c r="L7" s="73"/>
      <c r="M7" s="79"/>
      <c r="N7" s="73"/>
      <c r="O7" s="79"/>
    </row>
    <row r="8" spans="1:19" ht="14.25">
      <c r="A8" s="88"/>
      <c r="B8" s="73"/>
      <c r="C8" s="73" t="s">
        <v>27</v>
      </c>
      <c r="D8" s="54">
        <v>7672</v>
      </c>
      <c r="E8" s="10">
        <v>1480.22</v>
      </c>
      <c r="F8" s="10">
        <v>11278</v>
      </c>
      <c r="G8" s="55">
        <v>6815</v>
      </c>
      <c r="H8" s="74">
        <v>27245.22</v>
      </c>
      <c r="I8" s="84">
        <v>8056</v>
      </c>
      <c r="J8" s="10">
        <v>1434</v>
      </c>
      <c r="K8" s="10">
        <f>5865*2</f>
        <v>11730</v>
      </c>
      <c r="L8" s="55">
        <v>6642</v>
      </c>
      <c r="M8" s="74">
        <f>I8+J8+K8+L8</f>
        <v>27862</v>
      </c>
      <c r="N8" s="10">
        <f>M8-H8</f>
        <v>616.7799999999988</v>
      </c>
      <c r="O8" s="58">
        <f>N8/H8</f>
        <v>0.022638099453775703</v>
      </c>
      <c r="Q8" s="30"/>
      <c r="R8" s="30"/>
      <c r="S8" s="31"/>
    </row>
    <row r="9" spans="1:20" ht="14.25">
      <c r="A9" s="88"/>
      <c r="B9" s="73"/>
      <c r="C9" s="73" t="s">
        <v>26</v>
      </c>
      <c r="D9" s="54">
        <v>7966</v>
      </c>
      <c r="E9" s="10">
        <v>1480.22</v>
      </c>
      <c r="F9" s="10">
        <v>11278</v>
      </c>
      <c r="G9" s="55">
        <v>6815</v>
      </c>
      <c r="H9" s="74">
        <v>27539.22</v>
      </c>
      <c r="I9" s="84">
        <v>8348</v>
      </c>
      <c r="J9" s="10">
        <v>1434</v>
      </c>
      <c r="K9" s="10">
        <f>5865*2</f>
        <v>11730</v>
      </c>
      <c r="L9" s="55">
        <v>6642</v>
      </c>
      <c r="M9" s="74">
        <f>I9+J9+K9+L9</f>
        <v>28154</v>
      </c>
      <c r="N9" s="10">
        <f>M9-H9</f>
        <v>614.7799999999988</v>
      </c>
      <c r="O9" s="58">
        <f>N9/H9</f>
        <v>0.022323798568005877</v>
      </c>
      <c r="R9" s="30"/>
      <c r="S9" s="32"/>
      <c r="T9" s="33"/>
    </row>
    <row r="10" spans="1:16" ht="14.25">
      <c r="A10" s="88"/>
      <c r="B10" s="73"/>
      <c r="C10" s="73" t="s">
        <v>3</v>
      </c>
      <c r="D10" s="54">
        <v>10666</v>
      </c>
      <c r="E10" s="10">
        <v>1480.22</v>
      </c>
      <c r="F10" s="10">
        <v>11278</v>
      </c>
      <c r="G10" s="55">
        <v>6815</v>
      </c>
      <c r="H10" s="74">
        <v>30239.22</v>
      </c>
      <c r="I10" s="84">
        <v>11048</v>
      </c>
      <c r="J10" s="10">
        <v>1434</v>
      </c>
      <c r="K10" s="10">
        <f>5865*2</f>
        <v>11730</v>
      </c>
      <c r="L10" s="55">
        <v>6642</v>
      </c>
      <c r="M10" s="74">
        <f>I10+J10+K10+L10</f>
        <v>30854</v>
      </c>
      <c r="N10" s="10">
        <f>M10-H10</f>
        <v>614.7799999999988</v>
      </c>
      <c r="O10" s="58">
        <f>N10/H10</f>
        <v>0.02033055085415559</v>
      </c>
      <c r="P10" s="30"/>
    </row>
    <row r="11" spans="1:16" ht="14.25">
      <c r="A11" s="89"/>
      <c r="B11" s="80"/>
      <c r="C11" s="80" t="s">
        <v>2</v>
      </c>
      <c r="D11" s="59">
        <v>12262</v>
      </c>
      <c r="E11" s="60">
        <v>1480.22</v>
      </c>
      <c r="F11" s="10">
        <v>11278</v>
      </c>
      <c r="G11" s="61">
        <v>6815</v>
      </c>
      <c r="H11" s="75">
        <v>31835.22</v>
      </c>
      <c r="I11" s="85">
        <v>12646</v>
      </c>
      <c r="J11" s="60">
        <v>1434</v>
      </c>
      <c r="K11" s="10">
        <f>5865*2</f>
        <v>11730</v>
      </c>
      <c r="L11" s="61">
        <v>6642</v>
      </c>
      <c r="M11" s="75">
        <f>I11+J11+K11+L11</f>
        <v>32452</v>
      </c>
      <c r="N11" s="60">
        <f>M11-H11</f>
        <v>616.7799999999988</v>
      </c>
      <c r="O11" s="64">
        <f>N11/H11</f>
        <v>0.019374139710672606</v>
      </c>
      <c r="P11" s="17"/>
    </row>
    <row r="12" spans="1:15" ht="14.25">
      <c r="A12" s="88"/>
      <c r="B12" s="73" t="s">
        <v>4</v>
      </c>
      <c r="C12" s="73"/>
      <c r="D12" s="54"/>
      <c r="E12" s="10"/>
      <c r="F12" s="70"/>
      <c r="G12" s="55"/>
      <c r="H12" s="74"/>
      <c r="I12" s="84"/>
      <c r="J12" s="10"/>
      <c r="K12" s="70"/>
      <c r="L12" s="55"/>
      <c r="M12" s="74"/>
      <c r="N12" s="10"/>
      <c r="O12" s="58"/>
    </row>
    <row r="13" spans="1:16" ht="14.25">
      <c r="A13" s="88"/>
      <c r="B13" s="73"/>
      <c r="C13" s="73" t="s">
        <v>27</v>
      </c>
      <c r="D13" s="54">
        <v>9378</v>
      </c>
      <c r="E13" s="10">
        <v>1489.22</v>
      </c>
      <c r="F13" s="10">
        <v>8712</v>
      </c>
      <c r="G13" s="55">
        <v>6815</v>
      </c>
      <c r="H13" s="74">
        <v>26394.22</v>
      </c>
      <c r="I13" s="84">
        <v>9738</v>
      </c>
      <c r="J13" s="10">
        <v>1443</v>
      </c>
      <c r="K13" s="10">
        <v>8901</v>
      </c>
      <c r="L13" s="55">
        <v>6642</v>
      </c>
      <c r="M13" s="74">
        <f aca="true" t="shared" si="0" ref="M13:M19">I13+J13+K13+L13</f>
        <v>26724</v>
      </c>
      <c r="N13" s="10">
        <f aca="true" t="shared" si="1" ref="N13:N19">M13-H13</f>
        <v>329.77999999999884</v>
      </c>
      <c r="O13" s="58">
        <f aca="true" t="shared" si="2" ref="O13:O19">N13/H13</f>
        <v>0.012494402183508314</v>
      </c>
      <c r="P13" s="30"/>
    </row>
    <row r="14" spans="1:15" ht="14.25">
      <c r="A14" s="88"/>
      <c r="B14" s="73"/>
      <c r="C14" s="73" t="s">
        <v>26</v>
      </c>
      <c r="D14" s="54">
        <v>9378</v>
      </c>
      <c r="E14" s="10">
        <v>1489.22</v>
      </c>
      <c r="F14" s="10">
        <v>8712</v>
      </c>
      <c r="G14" s="55">
        <v>6815</v>
      </c>
      <c r="H14" s="74">
        <v>26394.22</v>
      </c>
      <c r="I14" s="84">
        <v>9738</v>
      </c>
      <c r="J14" s="10">
        <v>1443</v>
      </c>
      <c r="K14" s="10">
        <v>8901</v>
      </c>
      <c r="L14" s="55">
        <v>6642</v>
      </c>
      <c r="M14" s="74">
        <f t="shared" si="0"/>
        <v>26724</v>
      </c>
      <c r="N14" s="10">
        <f t="shared" si="1"/>
        <v>329.77999999999884</v>
      </c>
      <c r="O14" s="58">
        <f t="shared" si="2"/>
        <v>0.012494402183508314</v>
      </c>
    </row>
    <row r="15" spans="1:15" ht="14.25">
      <c r="A15" s="88"/>
      <c r="B15" s="73"/>
      <c r="C15" s="73" t="s">
        <v>3</v>
      </c>
      <c r="D15" s="54">
        <v>12258</v>
      </c>
      <c r="E15" s="10">
        <v>1489.22</v>
      </c>
      <c r="F15" s="10">
        <v>8712</v>
      </c>
      <c r="G15" s="55">
        <v>6815</v>
      </c>
      <c r="H15" s="74">
        <v>29274.22</v>
      </c>
      <c r="I15" s="84">
        <v>12726</v>
      </c>
      <c r="J15" s="10">
        <v>1443</v>
      </c>
      <c r="K15" s="10">
        <v>8901</v>
      </c>
      <c r="L15" s="55">
        <v>6642</v>
      </c>
      <c r="M15" s="74">
        <f t="shared" si="0"/>
        <v>29712</v>
      </c>
      <c r="N15" s="10">
        <f t="shared" si="1"/>
        <v>437.77999999999884</v>
      </c>
      <c r="O15" s="58">
        <f t="shared" si="2"/>
        <v>0.014954454806993964</v>
      </c>
    </row>
    <row r="16" spans="1:15" ht="14.25">
      <c r="A16" s="88"/>
      <c r="B16" s="73"/>
      <c r="C16" s="73" t="s">
        <v>6</v>
      </c>
      <c r="D16" s="54">
        <v>13446</v>
      </c>
      <c r="E16" s="10">
        <v>1489.22</v>
      </c>
      <c r="F16" s="10">
        <v>8712</v>
      </c>
      <c r="G16" s="55">
        <v>6815</v>
      </c>
      <c r="H16" s="74">
        <v>30462.22</v>
      </c>
      <c r="I16" s="84">
        <v>13950</v>
      </c>
      <c r="J16" s="10">
        <v>1443</v>
      </c>
      <c r="K16" s="10">
        <v>8901</v>
      </c>
      <c r="L16" s="55">
        <v>6642</v>
      </c>
      <c r="M16" s="74">
        <f t="shared" si="0"/>
        <v>30936</v>
      </c>
      <c r="N16" s="10">
        <f t="shared" si="1"/>
        <v>473.77999999999884</v>
      </c>
      <c r="O16" s="58">
        <f t="shared" si="2"/>
        <v>0.01555303585884413</v>
      </c>
    </row>
    <row r="17" spans="1:15" ht="14.25">
      <c r="A17" s="88"/>
      <c r="B17" s="73"/>
      <c r="C17" s="73" t="s">
        <v>38</v>
      </c>
      <c r="D17" s="54">
        <v>15498</v>
      </c>
      <c r="E17" s="10">
        <v>1489.22</v>
      </c>
      <c r="F17" s="10">
        <v>8712</v>
      </c>
      <c r="G17" s="55">
        <v>6815</v>
      </c>
      <c r="H17" s="74">
        <v>32514.22</v>
      </c>
      <c r="I17" s="84">
        <v>16092</v>
      </c>
      <c r="J17" s="10">
        <v>1443</v>
      </c>
      <c r="K17" s="10">
        <v>8901</v>
      </c>
      <c r="L17" s="55">
        <v>6642</v>
      </c>
      <c r="M17" s="74">
        <f t="shared" si="0"/>
        <v>33078</v>
      </c>
      <c r="N17" s="10">
        <f t="shared" si="1"/>
        <v>563.7799999999988</v>
      </c>
      <c r="O17" s="58">
        <f t="shared" si="2"/>
        <v>0.017339490229198142</v>
      </c>
    </row>
    <row r="18" spans="1:15" ht="14.25">
      <c r="A18" s="88"/>
      <c r="B18" s="73"/>
      <c r="C18" s="73" t="s">
        <v>42</v>
      </c>
      <c r="D18" s="54">
        <v>29214</v>
      </c>
      <c r="E18" s="10">
        <v>1489.22</v>
      </c>
      <c r="F18" s="10">
        <v>8712</v>
      </c>
      <c r="G18" s="55">
        <v>6815</v>
      </c>
      <c r="H18" s="74">
        <v>46230.22</v>
      </c>
      <c r="I18" s="84">
        <f>14859*2</f>
        <v>29718</v>
      </c>
      <c r="J18" s="10">
        <v>1443</v>
      </c>
      <c r="K18" s="10">
        <v>8901</v>
      </c>
      <c r="L18" s="55">
        <v>6642</v>
      </c>
      <c r="M18" s="74">
        <f t="shared" si="0"/>
        <v>46704</v>
      </c>
      <c r="N18" s="10">
        <f t="shared" si="1"/>
        <v>473.77999999999884</v>
      </c>
      <c r="O18" s="58">
        <f t="shared" si="2"/>
        <v>0.010248274829754192</v>
      </c>
    </row>
    <row r="19" spans="1:15" ht="14.25">
      <c r="A19" s="88"/>
      <c r="B19" s="73"/>
      <c r="C19" s="18" t="s">
        <v>40</v>
      </c>
      <c r="D19" s="54">
        <v>33100</v>
      </c>
      <c r="E19" s="10">
        <v>1489.22</v>
      </c>
      <c r="F19" s="10">
        <v>8712</v>
      </c>
      <c r="G19" s="55">
        <v>6815</v>
      </c>
      <c r="H19" s="74">
        <v>50116.22</v>
      </c>
      <c r="I19" s="84">
        <f>16550*2</f>
        <v>33100</v>
      </c>
      <c r="J19" s="10">
        <v>1443</v>
      </c>
      <c r="K19" s="10">
        <v>8901</v>
      </c>
      <c r="L19" s="55">
        <v>6642</v>
      </c>
      <c r="M19" s="74">
        <f t="shared" si="0"/>
        <v>50086</v>
      </c>
      <c r="N19" s="10">
        <f t="shared" si="1"/>
        <v>-30.220000000001164</v>
      </c>
      <c r="O19" s="58">
        <f t="shared" si="2"/>
        <v>-0.0006029983905410497</v>
      </c>
    </row>
    <row r="20" spans="1:15" ht="15">
      <c r="A20" s="92" t="s">
        <v>7</v>
      </c>
      <c r="B20" s="93"/>
      <c r="C20" s="93"/>
      <c r="D20" s="94"/>
      <c r="E20" s="94"/>
      <c r="F20" s="93"/>
      <c r="G20" s="94"/>
      <c r="H20" s="98"/>
      <c r="I20" s="94"/>
      <c r="J20" s="94"/>
      <c r="K20" s="93"/>
      <c r="L20" s="94"/>
      <c r="M20" s="98"/>
      <c r="N20" s="94"/>
      <c r="O20" s="95"/>
    </row>
    <row r="21" spans="1:15" ht="14.25">
      <c r="A21" s="88"/>
      <c r="B21" s="73" t="s">
        <v>1</v>
      </c>
      <c r="C21" s="73"/>
      <c r="D21" s="78"/>
      <c r="E21" s="55"/>
      <c r="F21" s="73"/>
      <c r="G21" s="55"/>
      <c r="H21" s="77"/>
      <c r="I21" s="78"/>
      <c r="J21" s="55"/>
      <c r="K21" s="73"/>
      <c r="L21" s="55"/>
      <c r="M21" s="77"/>
      <c r="N21" s="55"/>
      <c r="O21" s="79"/>
    </row>
    <row r="22" spans="1:17" ht="14.25">
      <c r="A22" s="88"/>
      <c r="B22" s="73"/>
      <c r="C22" s="73" t="s">
        <v>39</v>
      </c>
      <c r="D22" s="54">
        <v>6720</v>
      </c>
      <c r="E22" s="10">
        <v>1174</v>
      </c>
      <c r="F22" s="10">
        <v>7990</v>
      </c>
      <c r="G22" s="55">
        <v>6815</v>
      </c>
      <c r="H22" s="74">
        <v>22699</v>
      </c>
      <c r="I22" s="54">
        <v>7050</v>
      </c>
      <c r="J22" s="10">
        <v>1189</v>
      </c>
      <c r="K22" s="10">
        <v>8300</v>
      </c>
      <c r="L22" s="55">
        <v>6642</v>
      </c>
      <c r="M22" s="74">
        <f>I22+J22+K22+L22</f>
        <v>23181</v>
      </c>
      <c r="N22" s="10">
        <f>M22-H22</f>
        <v>482</v>
      </c>
      <c r="O22" s="58">
        <f>N22/H22</f>
        <v>0.0212344156130226</v>
      </c>
      <c r="Q22" s="30"/>
    </row>
    <row r="23" spans="1:17" ht="14.25">
      <c r="A23" s="88"/>
      <c r="B23" s="73"/>
      <c r="C23" s="73" t="s">
        <v>29</v>
      </c>
      <c r="D23" s="54">
        <v>7230</v>
      </c>
      <c r="E23" s="10">
        <v>1174</v>
      </c>
      <c r="F23" s="10">
        <v>7990</v>
      </c>
      <c r="G23" s="55">
        <v>6815</v>
      </c>
      <c r="H23" s="74">
        <v>23209</v>
      </c>
      <c r="I23" s="54">
        <v>7590</v>
      </c>
      <c r="J23" s="10">
        <v>1189</v>
      </c>
      <c r="K23" s="10">
        <v>8300</v>
      </c>
      <c r="L23" s="55">
        <v>6642</v>
      </c>
      <c r="M23" s="74">
        <f>I23+J23+K23+L23</f>
        <v>23721</v>
      </c>
      <c r="N23" s="10">
        <f>M23-H23</f>
        <v>512</v>
      </c>
      <c r="O23" s="58">
        <f>N23/H23</f>
        <v>0.022060407600499807</v>
      </c>
      <c r="Q23" s="30"/>
    </row>
    <row r="24" spans="1:17" ht="14.25">
      <c r="A24" s="88"/>
      <c r="B24" s="73"/>
      <c r="C24" s="73" t="s">
        <v>30</v>
      </c>
      <c r="D24" s="54">
        <v>8250</v>
      </c>
      <c r="E24" s="10">
        <v>1174</v>
      </c>
      <c r="F24" s="10">
        <v>7990</v>
      </c>
      <c r="G24" s="55">
        <v>6815</v>
      </c>
      <c r="H24" s="74">
        <v>24229</v>
      </c>
      <c r="I24" s="54">
        <v>8670</v>
      </c>
      <c r="J24" s="10">
        <v>1189</v>
      </c>
      <c r="K24" s="10">
        <v>8300</v>
      </c>
      <c r="L24" s="55">
        <v>6642</v>
      </c>
      <c r="M24" s="74">
        <f>I24+J24+K24+L24</f>
        <v>24801</v>
      </c>
      <c r="N24" s="10">
        <f>M24-H24</f>
        <v>572</v>
      </c>
      <c r="O24" s="58">
        <f>N24/H24</f>
        <v>0.023608072970407363</v>
      </c>
      <c r="Q24" s="30"/>
    </row>
    <row r="25" spans="1:17" ht="14.25">
      <c r="A25" s="88"/>
      <c r="B25" s="73"/>
      <c r="C25" s="73" t="s">
        <v>24</v>
      </c>
      <c r="D25" s="59">
        <v>9630</v>
      </c>
      <c r="E25" s="60">
        <v>1174</v>
      </c>
      <c r="F25" s="10">
        <v>7990</v>
      </c>
      <c r="G25" s="61">
        <v>6815</v>
      </c>
      <c r="H25" s="75">
        <v>25609</v>
      </c>
      <c r="I25" s="59">
        <v>10110</v>
      </c>
      <c r="J25" s="60">
        <v>1189</v>
      </c>
      <c r="K25" s="10">
        <v>8300</v>
      </c>
      <c r="L25" s="61">
        <v>6642</v>
      </c>
      <c r="M25" s="75">
        <f>I25+J25+K25+L25</f>
        <v>26241</v>
      </c>
      <c r="N25" s="60">
        <f>M25-H25</f>
        <v>632</v>
      </c>
      <c r="O25" s="64">
        <f>N25/H25</f>
        <v>0.024678823850989885</v>
      </c>
      <c r="Q25" s="30"/>
    </row>
    <row r="26" spans="1:17" ht="14.25">
      <c r="A26" s="90"/>
      <c r="B26" s="76" t="s">
        <v>4</v>
      </c>
      <c r="C26" s="76"/>
      <c r="D26" s="54"/>
      <c r="E26" s="10"/>
      <c r="F26" s="70"/>
      <c r="G26" s="55"/>
      <c r="H26" s="74"/>
      <c r="I26" s="54"/>
      <c r="J26" s="10"/>
      <c r="K26" s="70"/>
      <c r="L26" s="55"/>
      <c r="M26" s="74"/>
      <c r="N26" s="10"/>
      <c r="O26" s="58"/>
      <c r="Q26" s="30"/>
    </row>
    <row r="27" spans="1:17" ht="14.25">
      <c r="A27" s="88"/>
      <c r="B27" s="73"/>
      <c r="C27" s="73" t="s">
        <v>22</v>
      </c>
      <c r="D27" s="54">
        <v>7974</v>
      </c>
      <c r="E27" s="10">
        <v>1174</v>
      </c>
      <c r="F27" s="10">
        <v>8712</v>
      </c>
      <c r="G27" s="55">
        <v>6815</v>
      </c>
      <c r="H27" s="74">
        <v>24675</v>
      </c>
      <c r="I27" s="54">
        <v>8532</v>
      </c>
      <c r="J27" s="10">
        <v>1189</v>
      </c>
      <c r="K27" s="10">
        <v>8901</v>
      </c>
      <c r="L27" s="55">
        <v>6642</v>
      </c>
      <c r="M27" s="74">
        <f>I27+J27+K27+L27</f>
        <v>25264</v>
      </c>
      <c r="N27" s="10">
        <f>M27-H27</f>
        <v>589</v>
      </c>
      <c r="O27" s="58">
        <f>N27/H27</f>
        <v>0.02387031408308004</v>
      </c>
      <c r="Q27" s="30"/>
    </row>
    <row r="28" spans="1:17" ht="14.25">
      <c r="A28" s="88"/>
      <c r="B28" s="73"/>
      <c r="C28" s="73" t="s">
        <v>21</v>
      </c>
      <c r="D28" s="54">
        <v>9180</v>
      </c>
      <c r="E28" s="10">
        <v>1174</v>
      </c>
      <c r="F28" s="10">
        <v>8712</v>
      </c>
      <c r="G28" s="55">
        <v>6815</v>
      </c>
      <c r="H28" s="74">
        <v>25881</v>
      </c>
      <c r="I28" s="54">
        <v>9822</v>
      </c>
      <c r="J28" s="10">
        <v>1189</v>
      </c>
      <c r="K28" s="10">
        <v>8901</v>
      </c>
      <c r="L28" s="55">
        <v>6642</v>
      </c>
      <c r="M28" s="74">
        <f>I28+J28+K28+L28</f>
        <v>26554</v>
      </c>
      <c r="N28" s="10">
        <f>M28-H28</f>
        <v>673</v>
      </c>
      <c r="O28" s="58">
        <f>N28/H28</f>
        <v>0.026003632008036785</v>
      </c>
      <c r="Q28" s="30"/>
    </row>
    <row r="29" spans="1:17" ht="14.25">
      <c r="A29" s="88"/>
      <c r="B29" s="73"/>
      <c r="C29" s="73" t="s">
        <v>20</v>
      </c>
      <c r="D29" s="54">
        <v>9180</v>
      </c>
      <c r="E29" s="10">
        <v>1174</v>
      </c>
      <c r="F29" s="10">
        <v>8712</v>
      </c>
      <c r="G29" s="55">
        <v>6815</v>
      </c>
      <c r="H29" s="74">
        <v>25881</v>
      </c>
      <c r="I29" s="54">
        <v>9822</v>
      </c>
      <c r="J29" s="10">
        <v>1189</v>
      </c>
      <c r="K29" s="10">
        <v>8901</v>
      </c>
      <c r="L29" s="55">
        <v>6642</v>
      </c>
      <c r="M29" s="74">
        <f>I29+J29+K29+L29</f>
        <v>26554</v>
      </c>
      <c r="N29" s="10">
        <f>M29-H29</f>
        <v>673</v>
      </c>
      <c r="O29" s="58">
        <f>N29/H29</f>
        <v>0.026003632008036785</v>
      </c>
      <c r="Q29" s="30"/>
    </row>
    <row r="30" spans="1:17" ht="14.25">
      <c r="A30" s="88"/>
      <c r="B30" s="73"/>
      <c r="C30" s="73" t="s">
        <v>23</v>
      </c>
      <c r="D30" s="54">
        <v>12558</v>
      </c>
      <c r="E30" s="10">
        <v>1174</v>
      </c>
      <c r="F30" s="10">
        <v>8712</v>
      </c>
      <c r="G30" s="55">
        <v>6815</v>
      </c>
      <c r="H30" s="74">
        <v>29259</v>
      </c>
      <c r="I30" s="54">
        <v>13438</v>
      </c>
      <c r="J30" s="10">
        <v>1189</v>
      </c>
      <c r="K30" s="10">
        <v>8901</v>
      </c>
      <c r="L30" s="55">
        <v>6642</v>
      </c>
      <c r="M30" s="74">
        <f>I30+J30+K30+L30</f>
        <v>30170</v>
      </c>
      <c r="N30" s="10">
        <f>M30-H30</f>
        <v>911</v>
      </c>
      <c r="O30" s="58">
        <f>N30/H30</f>
        <v>0.031135718924091733</v>
      </c>
      <c r="Q30" s="30"/>
    </row>
    <row r="31" spans="1:15" ht="15">
      <c r="A31" s="92" t="s">
        <v>47</v>
      </c>
      <c r="B31" s="93"/>
      <c r="C31" s="93"/>
      <c r="D31" s="94"/>
      <c r="E31" s="94"/>
      <c r="F31" s="94"/>
      <c r="G31" s="94"/>
      <c r="H31" s="98"/>
      <c r="I31" s="94"/>
      <c r="J31" s="94"/>
      <c r="K31" s="94"/>
      <c r="L31" s="94"/>
      <c r="M31" s="98"/>
      <c r="N31" s="94"/>
      <c r="O31" s="95"/>
    </row>
    <row r="32" spans="1:15" ht="14.25">
      <c r="A32" s="88"/>
      <c r="B32" s="73" t="s">
        <v>1</v>
      </c>
      <c r="C32" s="73"/>
      <c r="D32" s="78"/>
      <c r="E32" s="55"/>
      <c r="F32" s="55"/>
      <c r="G32" s="55"/>
      <c r="H32" s="77"/>
      <c r="I32" s="78"/>
      <c r="J32" s="55"/>
      <c r="K32" s="55"/>
      <c r="L32" s="55"/>
      <c r="M32" s="77"/>
      <c r="N32" s="55"/>
      <c r="O32" s="79"/>
    </row>
    <row r="33" spans="1:16" ht="14.25">
      <c r="A33" s="88"/>
      <c r="B33" s="73"/>
      <c r="C33" s="73" t="s">
        <v>15</v>
      </c>
      <c r="D33" s="54">
        <v>6776</v>
      </c>
      <c r="E33" s="10">
        <v>926.2</v>
      </c>
      <c r="F33" s="57">
        <v>9890</v>
      </c>
      <c r="G33" s="55">
        <v>6815</v>
      </c>
      <c r="H33" s="74">
        <v>24407.2</v>
      </c>
      <c r="I33" s="54">
        <v>7980</v>
      </c>
      <c r="J33" s="10">
        <v>960</v>
      </c>
      <c r="K33" s="57">
        <v>10210</v>
      </c>
      <c r="L33" s="55">
        <v>6642</v>
      </c>
      <c r="M33" s="74">
        <f>SUM(I33,J33:L33)</f>
        <v>25792</v>
      </c>
      <c r="N33" s="10">
        <f>M33-H33</f>
        <v>1384.7999999999993</v>
      </c>
      <c r="O33" s="58">
        <f>N33/H33</f>
        <v>0.0567373561899767</v>
      </c>
      <c r="P33" s="20"/>
    </row>
    <row r="34" spans="1:19" ht="14.25">
      <c r="A34" s="88"/>
      <c r="B34" s="73"/>
      <c r="C34" s="81" t="s">
        <v>34</v>
      </c>
      <c r="D34" s="34">
        <v>7272</v>
      </c>
      <c r="E34" s="60">
        <v>926.2</v>
      </c>
      <c r="F34" s="63">
        <v>9890</v>
      </c>
      <c r="G34" s="61">
        <v>6815</v>
      </c>
      <c r="H34" s="75">
        <v>24903.2</v>
      </c>
      <c r="I34" s="34">
        <v>8580</v>
      </c>
      <c r="J34" s="60">
        <v>960</v>
      </c>
      <c r="K34" s="63">
        <v>10210</v>
      </c>
      <c r="L34" s="61">
        <v>6642</v>
      </c>
      <c r="M34" s="75">
        <f>SUM(I34,J34:L34)</f>
        <v>26392</v>
      </c>
      <c r="N34" s="60">
        <f>M34-H34</f>
        <v>1488.7999999999993</v>
      </c>
      <c r="O34" s="64">
        <f>N34/H34</f>
        <v>0.059783481640913586</v>
      </c>
      <c r="P34" s="20"/>
      <c r="S34" s="30"/>
    </row>
    <row r="35" spans="1:16" ht="14.25">
      <c r="A35" s="90"/>
      <c r="B35" s="76" t="s">
        <v>4</v>
      </c>
      <c r="C35" s="76"/>
      <c r="D35" s="54"/>
      <c r="E35" s="10"/>
      <c r="F35" s="65"/>
      <c r="G35" s="55"/>
      <c r="H35" s="74"/>
      <c r="I35" s="54"/>
      <c r="J35" s="10"/>
      <c r="K35" s="65"/>
      <c r="L35" s="55"/>
      <c r="M35" s="74"/>
      <c r="N35" s="10"/>
      <c r="O35" s="58"/>
      <c r="P35" s="20"/>
    </row>
    <row r="36" spans="1:16" ht="14.25">
      <c r="A36" s="88"/>
      <c r="B36" s="73"/>
      <c r="C36" s="73" t="s">
        <v>9</v>
      </c>
      <c r="D36" s="54">
        <v>7452</v>
      </c>
      <c r="E36" s="10">
        <v>926.2</v>
      </c>
      <c r="F36" s="10">
        <v>8712</v>
      </c>
      <c r="G36" s="55">
        <v>6815</v>
      </c>
      <c r="H36" s="74">
        <v>23905.2</v>
      </c>
      <c r="I36" s="54">
        <f>3856*2</f>
        <v>7712</v>
      </c>
      <c r="J36" s="10">
        <v>960</v>
      </c>
      <c r="K36" s="10">
        <v>8901</v>
      </c>
      <c r="L36" s="55">
        <v>6642</v>
      </c>
      <c r="M36" s="74">
        <f aca="true" t="shared" si="3" ref="M36:M42">SUM(I36,J36:L36)</f>
        <v>24215</v>
      </c>
      <c r="N36" s="10">
        <f aca="true" t="shared" si="4" ref="N36:N42">M36-H36</f>
        <v>309.7999999999993</v>
      </c>
      <c r="O36" s="58">
        <f aca="true" t="shared" si="5" ref="O36:O42">N36/H36</f>
        <v>0.012959523450964613</v>
      </c>
      <c r="P36" s="20"/>
    </row>
    <row r="37" spans="1:16" ht="14.25">
      <c r="A37" s="88"/>
      <c r="B37" s="73"/>
      <c r="C37" s="18" t="s">
        <v>10</v>
      </c>
      <c r="D37" s="54">
        <v>8992</v>
      </c>
      <c r="E37" s="10">
        <v>926.2</v>
      </c>
      <c r="F37" s="10">
        <v>8712</v>
      </c>
      <c r="G37" s="55">
        <v>6815</v>
      </c>
      <c r="H37" s="74">
        <v>25445.2</v>
      </c>
      <c r="I37" s="54">
        <f>4653*2</f>
        <v>9306</v>
      </c>
      <c r="J37" s="10">
        <v>960</v>
      </c>
      <c r="K37" s="10">
        <v>8901</v>
      </c>
      <c r="L37" s="55">
        <v>6642</v>
      </c>
      <c r="M37" s="74">
        <f t="shared" si="3"/>
        <v>25809</v>
      </c>
      <c r="N37" s="10">
        <f t="shared" si="4"/>
        <v>363.7999999999993</v>
      </c>
      <c r="O37" s="58">
        <f t="shared" si="5"/>
        <v>0.014297392042507006</v>
      </c>
      <c r="P37" s="20"/>
    </row>
    <row r="38" spans="1:16" ht="14.25">
      <c r="A38" s="88"/>
      <c r="B38" s="73"/>
      <c r="C38" s="18" t="s">
        <v>3</v>
      </c>
      <c r="D38" s="54">
        <v>9090</v>
      </c>
      <c r="E38" s="10">
        <v>926.2</v>
      </c>
      <c r="F38" s="10">
        <v>8712</v>
      </c>
      <c r="G38" s="55">
        <v>6815</v>
      </c>
      <c r="H38" s="74">
        <v>25543.2</v>
      </c>
      <c r="I38" s="54">
        <f>4704*2</f>
        <v>9408</v>
      </c>
      <c r="J38" s="10">
        <v>960</v>
      </c>
      <c r="K38" s="10">
        <v>8901</v>
      </c>
      <c r="L38" s="55">
        <v>6642</v>
      </c>
      <c r="M38" s="74">
        <f t="shared" si="3"/>
        <v>25911</v>
      </c>
      <c r="N38" s="10">
        <f t="shared" si="4"/>
        <v>367.7999999999993</v>
      </c>
      <c r="O38" s="58">
        <f t="shared" si="5"/>
        <v>0.014399135582072694</v>
      </c>
      <c r="P38" s="20"/>
    </row>
    <row r="39" spans="1:16" ht="14.25">
      <c r="A39" s="88"/>
      <c r="B39" s="73"/>
      <c r="C39" s="73" t="s">
        <v>35</v>
      </c>
      <c r="D39" s="54">
        <v>10378</v>
      </c>
      <c r="E39" s="10">
        <v>926.2</v>
      </c>
      <c r="F39" s="10">
        <v>8712</v>
      </c>
      <c r="G39" s="55">
        <v>6815</v>
      </c>
      <c r="H39" s="74">
        <v>26831.2</v>
      </c>
      <c r="I39" s="54">
        <f>5372*2</f>
        <v>10744</v>
      </c>
      <c r="J39" s="10">
        <v>960</v>
      </c>
      <c r="K39" s="10">
        <v>8901</v>
      </c>
      <c r="L39" s="55">
        <v>6642</v>
      </c>
      <c r="M39" s="74">
        <f t="shared" si="3"/>
        <v>27247</v>
      </c>
      <c r="N39" s="10">
        <f t="shared" si="4"/>
        <v>415.7999999999993</v>
      </c>
      <c r="O39" s="58">
        <f t="shared" si="5"/>
        <v>0.01549688422433582</v>
      </c>
      <c r="P39" s="20"/>
    </row>
    <row r="40" spans="1:16" ht="14.25">
      <c r="A40" s="88"/>
      <c r="B40" s="73"/>
      <c r="C40" s="73" t="s">
        <v>11</v>
      </c>
      <c r="D40" s="54">
        <v>9090</v>
      </c>
      <c r="E40" s="10">
        <v>926.2</v>
      </c>
      <c r="F40" s="10">
        <v>8712</v>
      </c>
      <c r="G40" s="55">
        <v>6815</v>
      </c>
      <c r="H40" s="74">
        <v>25543.2</v>
      </c>
      <c r="I40" s="54">
        <f>4704*2</f>
        <v>9408</v>
      </c>
      <c r="J40" s="10">
        <v>960</v>
      </c>
      <c r="K40" s="10">
        <v>8901</v>
      </c>
      <c r="L40" s="55">
        <v>6642</v>
      </c>
      <c r="M40" s="74">
        <f t="shared" si="3"/>
        <v>25911</v>
      </c>
      <c r="N40" s="10">
        <f t="shared" si="4"/>
        <v>367.7999999999993</v>
      </c>
      <c r="O40" s="58">
        <f t="shared" si="5"/>
        <v>0.014399135582072694</v>
      </c>
      <c r="P40" s="20"/>
    </row>
    <row r="41" spans="1:18" ht="14.25">
      <c r="A41" s="88"/>
      <c r="B41" s="73"/>
      <c r="C41" s="73" t="s">
        <v>8</v>
      </c>
      <c r="D41" s="54">
        <v>7674</v>
      </c>
      <c r="E41" s="10">
        <v>926.2</v>
      </c>
      <c r="F41" s="10">
        <v>8712</v>
      </c>
      <c r="G41" s="55">
        <v>6815</v>
      </c>
      <c r="H41" s="74">
        <v>24127.2</v>
      </c>
      <c r="I41" s="54">
        <f>3971*2</f>
        <v>7942</v>
      </c>
      <c r="J41" s="10">
        <v>960</v>
      </c>
      <c r="K41" s="10">
        <v>8901</v>
      </c>
      <c r="L41" s="55">
        <v>6642</v>
      </c>
      <c r="M41" s="74">
        <f t="shared" si="3"/>
        <v>24445</v>
      </c>
      <c r="N41" s="10">
        <f t="shared" si="4"/>
        <v>317.7999999999993</v>
      </c>
      <c r="O41" s="58">
        <f t="shared" si="5"/>
        <v>0.01317185583076359</v>
      </c>
      <c r="P41" s="20"/>
      <c r="Q41" s="19"/>
      <c r="R41" s="19"/>
    </row>
    <row r="42" spans="1:16" ht="14.25">
      <c r="A42" s="88"/>
      <c r="B42" s="73"/>
      <c r="C42" s="73" t="s">
        <v>31</v>
      </c>
      <c r="D42" s="54">
        <v>10412</v>
      </c>
      <c r="E42" s="10">
        <v>926.2</v>
      </c>
      <c r="F42" s="10">
        <v>8712</v>
      </c>
      <c r="G42" s="55">
        <v>6815</v>
      </c>
      <c r="H42" s="74">
        <v>26865.2</v>
      </c>
      <c r="I42" s="54">
        <f>5390*2</f>
        <v>10780</v>
      </c>
      <c r="J42" s="10">
        <v>960</v>
      </c>
      <c r="K42" s="10">
        <v>8901</v>
      </c>
      <c r="L42" s="55">
        <v>6642</v>
      </c>
      <c r="M42" s="74">
        <f t="shared" si="3"/>
        <v>27283</v>
      </c>
      <c r="N42" s="10">
        <f t="shared" si="4"/>
        <v>417.7999999999993</v>
      </c>
      <c r="O42" s="58">
        <f t="shared" si="5"/>
        <v>0.015551717463484332</v>
      </c>
      <c r="P42" s="20"/>
    </row>
    <row r="43" spans="1:16" ht="17.25">
      <c r="A43" s="92" t="s">
        <v>70</v>
      </c>
      <c r="B43" s="93"/>
      <c r="C43" s="96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20"/>
    </row>
    <row r="44" spans="1:23" s="14" customFormat="1" ht="12.75">
      <c r="A44" s="21"/>
      <c r="B44" s="18" t="s">
        <v>1</v>
      </c>
      <c r="C44" s="83"/>
      <c r="D44" s="54"/>
      <c r="E44" s="10"/>
      <c r="F44" s="10"/>
      <c r="G44" s="10"/>
      <c r="H44" s="58"/>
      <c r="I44" s="21"/>
      <c r="J44" s="18"/>
      <c r="K44" s="18"/>
      <c r="L44" s="10"/>
      <c r="M44" s="58"/>
      <c r="N44" s="21"/>
      <c r="O44" s="91"/>
      <c r="P44" s="22"/>
      <c r="Q44" s="13"/>
      <c r="R44" s="13"/>
      <c r="S44" s="13"/>
      <c r="T44" s="13"/>
      <c r="U44" s="13"/>
      <c r="V44" s="13"/>
      <c r="W44" s="13"/>
    </row>
    <row r="45" spans="1:23" s="14" customFormat="1" ht="12.75">
      <c r="A45" s="21"/>
      <c r="B45" s="18"/>
      <c r="C45" s="83" t="s">
        <v>14</v>
      </c>
      <c r="D45" s="54">
        <v>9900</v>
      </c>
      <c r="E45" s="10">
        <v>266.7</v>
      </c>
      <c r="F45" s="10">
        <v>8712</v>
      </c>
      <c r="G45" s="10">
        <v>6815</v>
      </c>
      <c r="H45" s="74">
        <v>25693.7</v>
      </c>
      <c r="I45" s="54">
        <v>10200</v>
      </c>
      <c r="J45" s="10">
        <v>266.7</v>
      </c>
      <c r="K45" s="10">
        <v>8901</v>
      </c>
      <c r="L45" s="55">
        <v>6642</v>
      </c>
      <c r="M45" s="74">
        <f>SUM(I45,J45:L45)</f>
        <v>26009.7</v>
      </c>
      <c r="N45" s="54">
        <f>M45-H45</f>
        <v>316</v>
      </c>
      <c r="O45" s="44">
        <f>N45/H45</f>
        <v>0.012298734709286711</v>
      </c>
      <c r="P45" s="22"/>
      <c r="Q45" s="13"/>
      <c r="R45" s="13"/>
      <c r="S45" s="13"/>
      <c r="T45" s="13"/>
      <c r="U45" s="13"/>
      <c r="V45" s="13"/>
      <c r="W45" s="13"/>
    </row>
    <row r="46" spans="1:23" s="14" customFormat="1" ht="12.75">
      <c r="A46" s="39"/>
      <c r="B46" s="40"/>
      <c r="C46" s="41" t="s">
        <v>57</v>
      </c>
      <c r="D46" s="59">
        <v>9900</v>
      </c>
      <c r="E46" s="60">
        <v>266.7</v>
      </c>
      <c r="F46" s="60">
        <v>8712</v>
      </c>
      <c r="G46" s="60">
        <v>6815</v>
      </c>
      <c r="H46" s="75">
        <v>25693.7</v>
      </c>
      <c r="I46" s="59">
        <v>10200</v>
      </c>
      <c r="J46" s="60">
        <v>266.7</v>
      </c>
      <c r="K46" s="60">
        <v>8901</v>
      </c>
      <c r="L46" s="61">
        <v>6642</v>
      </c>
      <c r="M46" s="75">
        <f>SUM(I46,J46:L46)</f>
        <v>26009.7</v>
      </c>
      <c r="N46" s="59">
        <f>M46-H46</f>
        <v>316</v>
      </c>
      <c r="O46" s="45">
        <f>N46/H46</f>
        <v>0.012298734709286711</v>
      </c>
      <c r="P46" s="22"/>
      <c r="Q46" s="13"/>
      <c r="R46" s="13"/>
      <c r="S46" s="13"/>
      <c r="T46" s="13"/>
      <c r="U46" s="13"/>
      <c r="V46" s="13"/>
      <c r="W46" s="13"/>
    </row>
    <row r="47" spans="1:23" s="14" customFormat="1" ht="12.75">
      <c r="A47" s="21"/>
      <c r="B47" s="18" t="s">
        <v>4</v>
      </c>
      <c r="C47" s="18"/>
      <c r="D47" s="54"/>
      <c r="E47" s="10"/>
      <c r="F47" s="10"/>
      <c r="G47" s="10"/>
      <c r="H47" s="74"/>
      <c r="I47" s="54"/>
      <c r="J47" s="10"/>
      <c r="K47" s="10"/>
      <c r="L47" s="10"/>
      <c r="M47" s="74"/>
      <c r="N47" s="54" t="s">
        <v>36</v>
      </c>
      <c r="O47" s="44" t="s">
        <v>36</v>
      </c>
      <c r="P47" s="22"/>
      <c r="Q47" s="13"/>
      <c r="R47" s="13"/>
      <c r="S47" s="13"/>
      <c r="T47" s="13"/>
      <c r="U47" s="13"/>
      <c r="V47" s="13"/>
      <c r="W47" s="13"/>
    </row>
    <row r="48" spans="1:23" s="14" customFormat="1" ht="12.75">
      <c r="A48" s="21"/>
      <c r="B48" s="18"/>
      <c r="C48" s="73" t="s">
        <v>58</v>
      </c>
      <c r="D48" s="54">
        <v>10200</v>
      </c>
      <c r="E48" s="10">
        <v>266.7</v>
      </c>
      <c r="F48" s="10">
        <v>8712</v>
      </c>
      <c r="G48" s="10">
        <v>6815</v>
      </c>
      <c r="H48" s="74">
        <v>25993.7</v>
      </c>
      <c r="I48" s="54">
        <f>5355*2</f>
        <v>10710</v>
      </c>
      <c r="J48" s="10">
        <v>266.7</v>
      </c>
      <c r="K48" s="10">
        <v>8901</v>
      </c>
      <c r="L48" s="55">
        <v>6642</v>
      </c>
      <c r="M48" s="74">
        <f aca="true" t="shared" si="6" ref="M48:M58">SUM(I48,J48:L48)</f>
        <v>26519.7</v>
      </c>
      <c r="N48" s="54">
        <f aca="true" t="shared" si="7" ref="N48:N54">M48-H48</f>
        <v>526</v>
      </c>
      <c r="O48" s="44">
        <f aca="true" t="shared" si="8" ref="O48:O54">N48/H48</f>
        <v>0.020235672489872545</v>
      </c>
      <c r="P48" s="22"/>
      <c r="Q48" s="13"/>
      <c r="R48" s="13"/>
      <c r="S48" s="13"/>
      <c r="T48" s="13"/>
      <c r="U48" s="13"/>
      <c r="V48" s="13"/>
      <c r="W48" s="13"/>
    </row>
    <row r="49" spans="1:23" s="14" customFormat="1" ht="12.75">
      <c r="A49" s="21"/>
      <c r="B49" s="18"/>
      <c r="C49" s="18" t="s">
        <v>32</v>
      </c>
      <c r="D49" s="54">
        <v>4230</v>
      </c>
      <c r="E49" s="10">
        <v>266.7</v>
      </c>
      <c r="F49" s="10">
        <v>8712</v>
      </c>
      <c r="G49" s="10">
        <v>6815</v>
      </c>
      <c r="H49" s="74">
        <v>20023.7</v>
      </c>
      <c r="I49" s="54">
        <f>2430*2</f>
        <v>4860</v>
      </c>
      <c r="J49" s="10">
        <v>266.7</v>
      </c>
      <c r="K49" s="10">
        <v>8901</v>
      </c>
      <c r="L49" s="55">
        <v>6642</v>
      </c>
      <c r="M49" s="74">
        <f t="shared" si="6"/>
        <v>20669.7</v>
      </c>
      <c r="N49" s="54">
        <f t="shared" si="7"/>
        <v>646</v>
      </c>
      <c r="O49" s="44">
        <f t="shared" si="8"/>
        <v>0.0322617698027837</v>
      </c>
      <c r="P49" s="22"/>
      <c r="Q49" s="13"/>
      <c r="R49" s="13"/>
      <c r="S49" s="13"/>
      <c r="T49" s="13"/>
      <c r="U49" s="13"/>
      <c r="V49" s="13"/>
      <c r="W49" s="13"/>
    </row>
    <row r="50" spans="1:23" s="14" customFormat="1" ht="12.75">
      <c r="A50" s="21"/>
      <c r="B50" s="18"/>
      <c r="C50" s="73" t="s">
        <v>49</v>
      </c>
      <c r="D50" s="54">
        <v>18090</v>
      </c>
      <c r="E50" s="10">
        <v>266.7</v>
      </c>
      <c r="F50" s="10">
        <v>8712</v>
      </c>
      <c r="G50" s="10">
        <v>6815</v>
      </c>
      <c r="H50" s="74">
        <v>33883.7</v>
      </c>
      <c r="I50" s="54">
        <f>9585*2</f>
        <v>19170</v>
      </c>
      <c r="J50" s="10">
        <v>266.7</v>
      </c>
      <c r="K50" s="10">
        <v>8901</v>
      </c>
      <c r="L50" s="55">
        <v>6642</v>
      </c>
      <c r="M50" s="74">
        <f t="shared" si="6"/>
        <v>34979.7</v>
      </c>
      <c r="N50" s="54">
        <f t="shared" si="7"/>
        <v>1096</v>
      </c>
      <c r="O50" s="44">
        <f t="shared" si="8"/>
        <v>0.032345936246631866</v>
      </c>
      <c r="P50" s="22"/>
      <c r="Q50" s="13"/>
      <c r="R50" s="13"/>
      <c r="S50" s="13"/>
      <c r="T50" s="13"/>
      <c r="U50" s="13"/>
      <c r="V50" s="13"/>
      <c r="W50" s="13"/>
    </row>
    <row r="51" spans="1:23" s="14" customFormat="1" ht="12.75">
      <c r="A51" s="21"/>
      <c r="B51" s="18"/>
      <c r="C51" s="73" t="s">
        <v>50</v>
      </c>
      <c r="D51" s="54">
        <v>14100</v>
      </c>
      <c r="E51" s="10">
        <v>266.7</v>
      </c>
      <c r="F51" s="10">
        <v>8712</v>
      </c>
      <c r="G51" s="10">
        <v>6815</v>
      </c>
      <c r="H51" s="74">
        <v>29893.7</v>
      </c>
      <c r="I51" s="54">
        <f>5985*2</f>
        <v>11970</v>
      </c>
      <c r="J51" s="10">
        <v>266.7</v>
      </c>
      <c r="K51" s="10">
        <v>8901</v>
      </c>
      <c r="L51" s="55">
        <v>6642</v>
      </c>
      <c r="M51" s="74">
        <f t="shared" si="6"/>
        <v>27779.7</v>
      </c>
      <c r="N51" s="54">
        <f t="shared" si="7"/>
        <v>-2114</v>
      </c>
      <c r="O51" s="44">
        <f t="shared" si="8"/>
        <v>-0.07071724142545084</v>
      </c>
      <c r="P51" s="22"/>
      <c r="Q51" s="13"/>
      <c r="R51" s="13"/>
      <c r="S51" s="13"/>
      <c r="T51" s="13"/>
      <c r="U51" s="13"/>
      <c r="V51" s="13"/>
      <c r="W51" s="13"/>
    </row>
    <row r="52" spans="1:23" s="14" customFormat="1" ht="12.75">
      <c r="A52" s="21"/>
      <c r="B52" s="18"/>
      <c r="C52" s="18" t="s">
        <v>59</v>
      </c>
      <c r="D52" s="54">
        <v>11280</v>
      </c>
      <c r="E52" s="10">
        <v>266.7</v>
      </c>
      <c r="F52" s="10">
        <v>8712</v>
      </c>
      <c r="G52" s="10">
        <v>6815</v>
      </c>
      <c r="H52" s="74">
        <v>27073.7</v>
      </c>
      <c r="I52" s="54">
        <f>5985*2</f>
        <v>11970</v>
      </c>
      <c r="J52" s="10">
        <v>266.7</v>
      </c>
      <c r="K52" s="10">
        <v>8901</v>
      </c>
      <c r="L52" s="55">
        <v>6642</v>
      </c>
      <c r="M52" s="74">
        <f t="shared" si="6"/>
        <v>27779.7</v>
      </c>
      <c r="N52" s="54">
        <f t="shared" si="7"/>
        <v>706</v>
      </c>
      <c r="O52" s="44">
        <f t="shared" si="8"/>
        <v>0.026076967684505625</v>
      </c>
      <c r="P52" s="22"/>
      <c r="Q52" s="13"/>
      <c r="R52" s="13"/>
      <c r="S52" s="13"/>
      <c r="T52" s="13"/>
      <c r="U52" s="13"/>
      <c r="V52" s="13"/>
      <c r="W52" s="13"/>
    </row>
    <row r="53" spans="1:23" s="14" customFormat="1" ht="12.75">
      <c r="A53" s="21"/>
      <c r="B53" s="18"/>
      <c r="C53" s="18" t="s">
        <v>60</v>
      </c>
      <c r="D53" s="54">
        <v>11280</v>
      </c>
      <c r="E53" s="10">
        <v>266.7</v>
      </c>
      <c r="F53" s="10">
        <v>8712</v>
      </c>
      <c r="G53" s="10">
        <v>6815</v>
      </c>
      <c r="H53" s="74">
        <v>27073.7</v>
      </c>
      <c r="I53" s="54">
        <f>6150*2</f>
        <v>12300</v>
      </c>
      <c r="J53" s="10">
        <v>266.7</v>
      </c>
      <c r="K53" s="10">
        <v>8901</v>
      </c>
      <c r="L53" s="55">
        <v>6642</v>
      </c>
      <c r="M53" s="74">
        <f t="shared" si="6"/>
        <v>28109.7</v>
      </c>
      <c r="N53" s="54">
        <f t="shared" si="7"/>
        <v>1036</v>
      </c>
      <c r="O53" s="44">
        <f t="shared" si="8"/>
        <v>0.03826591858519523</v>
      </c>
      <c r="P53" s="22"/>
      <c r="Q53" s="13"/>
      <c r="R53" s="13"/>
      <c r="S53" s="13"/>
      <c r="T53" s="13"/>
      <c r="U53" s="13"/>
      <c r="V53" s="13"/>
      <c r="W53" s="13"/>
    </row>
    <row r="54" spans="1:23" s="14" customFormat="1" ht="12.75">
      <c r="A54" s="21"/>
      <c r="B54" s="18"/>
      <c r="C54" s="73" t="s">
        <v>28</v>
      </c>
      <c r="D54" s="54">
        <v>15150</v>
      </c>
      <c r="E54" s="10">
        <v>266.7</v>
      </c>
      <c r="F54" s="10">
        <v>8712</v>
      </c>
      <c r="G54" s="10">
        <v>6815</v>
      </c>
      <c r="H54" s="74">
        <v>30943.7</v>
      </c>
      <c r="I54" s="54">
        <f>7950*2</f>
        <v>15900</v>
      </c>
      <c r="J54" s="10">
        <v>266.7</v>
      </c>
      <c r="K54" s="10">
        <v>8901</v>
      </c>
      <c r="L54" s="55">
        <v>6642</v>
      </c>
      <c r="M54" s="74">
        <f t="shared" si="6"/>
        <v>31709.7</v>
      </c>
      <c r="N54" s="54">
        <f t="shared" si="7"/>
        <v>766</v>
      </c>
      <c r="O54" s="44">
        <f t="shared" si="8"/>
        <v>0.024754635030717075</v>
      </c>
      <c r="P54" s="22"/>
      <c r="Q54" s="13"/>
      <c r="R54" s="13"/>
      <c r="S54" s="13"/>
      <c r="T54" s="13"/>
      <c r="U54" s="13"/>
      <c r="V54" s="13"/>
      <c r="W54" s="13"/>
    </row>
    <row r="55" spans="1:23" s="14" customFormat="1" ht="12.75">
      <c r="A55" s="21"/>
      <c r="B55" s="18"/>
      <c r="C55" s="73" t="s">
        <v>64</v>
      </c>
      <c r="D55" s="54"/>
      <c r="E55" s="10"/>
      <c r="F55" s="10"/>
      <c r="G55" s="10"/>
      <c r="H55" s="74"/>
      <c r="I55" s="54">
        <v>18900</v>
      </c>
      <c r="J55" s="10">
        <v>266.7</v>
      </c>
      <c r="K55" s="10">
        <v>8901</v>
      </c>
      <c r="L55" s="55">
        <v>6642</v>
      </c>
      <c r="M55" s="74">
        <f t="shared" si="6"/>
        <v>34709.7</v>
      </c>
      <c r="N55" s="37" t="s">
        <v>55</v>
      </c>
      <c r="O55" s="38" t="s">
        <v>55</v>
      </c>
      <c r="P55" s="22"/>
      <c r="Q55" s="13"/>
      <c r="R55" s="13"/>
      <c r="S55" s="13"/>
      <c r="T55" s="13"/>
      <c r="U55" s="13"/>
      <c r="V55" s="13"/>
      <c r="W55" s="13"/>
    </row>
    <row r="56" spans="1:23" s="14" customFormat="1" ht="12.75">
      <c r="A56" s="21"/>
      <c r="B56" s="18"/>
      <c r="C56" s="18" t="s">
        <v>51</v>
      </c>
      <c r="D56" s="54">
        <v>14250</v>
      </c>
      <c r="E56" s="10">
        <v>266.7</v>
      </c>
      <c r="F56" s="10">
        <v>8712</v>
      </c>
      <c r="G56" s="10">
        <v>6815</v>
      </c>
      <c r="H56" s="74">
        <v>30043.7</v>
      </c>
      <c r="I56" s="54">
        <f>7350*2</f>
        <v>14700</v>
      </c>
      <c r="J56" s="10">
        <v>266.7</v>
      </c>
      <c r="K56" s="10">
        <v>8901</v>
      </c>
      <c r="L56" s="55">
        <v>6642</v>
      </c>
      <c r="M56" s="74">
        <f t="shared" si="6"/>
        <v>30509.7</v>
      </c>
      <c r="N56" s="54">
        <f>M56-H56</f>
        <v>466</v>
      </c>
      <c r="O56" s="44">
        <f>N56/H56</f>
        <v>0.015510739356337601</v>
      </c>
      <c r="P56" s="22"/>
      <c r="Q56" s="13"/>
      <c r="R56" s="13"/>
      <c r="S56" s="13"/>
      <c r="T56" s="13"/>
      <c r="U56" s="13"/>
      <c r="V56" s="13"/>
      <c r="W56" s="13"/>
    </row>
    <row r="57" spans="1:23" s="14" customFormat="1" ht="12.75">
      <c r="A57" s="21"/>
      <c r="B57" s="18"/>
      <c r="C57" s="18" t="s">
        <v>52</v>
      </c>
      <c r="D57" s="54">
        <v>13500</v>
      </c>
      <c r="E57" s="10">
        <v>266.7</v>
      </c>
      <c r="F57" s="10">
        <v>8712</v>
      </c>
      <c r="G57" s="10">
        <v>6815</v>
      </c>
      <c r="H57" s="74">
        <v>29293.7</v>
      </c>
      <c r="I57" s="54">
        <f>6975*2</f>
        <v>13950</v>
      </c>
      <c r="J57" s="10">
        <v>266.7</v>
      </c>
      <c r="K57" s="10">
        <v>8901</v>
      </c>
      <c r="L57" s="55">
        <v>6642</v>
      </c>
      <c r="M57" s="74">
        <f t="shared" si="6"/>
        <v>29759.7</v>
      </c>
      <c r="N57" s="54">
        <f>M57-H57</f>
        <v>466</v>
      </c>
      <c r="O57" s="44">
        <f>N57/H57</f>
        <v>0.015907857320857387</v>
      </c>
      <c r="P57" s="22"/>
      <c r="Q57" s="13"/>
      <c r="R57" s="13"/>
      <c r="S57" s="13"/>
      <c r="T57" s="13"/>
      <c r="U57" s="13"/>
      <c r="V57" s="13"/>
      <c r="W57" s="13"/>
    </row>
    <row r="58" spans="1:23" s="14" customFormat="1" ht="14.25">
      <c r="A58" s="21"/>
      <c r="B58" s="18"/>
      <c r="C58" s="18" t="s">
        <v>65</v>
      </c>
      <c r="D58" s="42">
        <v>2538</v>
      </c>
      <c r="E58" s="43">
        <v>266.7</v>
      </c>
      <c r="F58" s="43">
        <v>8712</v>
      </c>
      <c r="G58" s="43">
        <v>6815</v>
      </c>
      <c r="H58" s="75">
        <v>18331.7</v>
      </c>
      <c r="I58" s="42">
        <f>1278*2</f>
        <v>2556</v>
      </c>
      <c r="J58" s="43">
        <v>266.7</v>
      </c>
      <c r="K58" s="43">
        <v>8901</v>
      </c>
      <c r="L58" s="46">
        <v>6642</v>
      </c>
      <c r="M58" s="75">
        <f t="shared" si="6"/>
        <v>18365.7</v>
      </c>
      <c r="N58" s="42">
        <f>M58-H58</f>
        <v>34</v>
      </c>
      <c r="O58" s="47">
        <f>N58/H58</f>
        <v>0.0018547106924071417</v>
      </c>
      <c r="P58" s="22"/>
      <c r="Q58" s="13"/>
      <c r="R58" s="13"/>
      <c r="S58" s="13"/>
      <c r="T58" s="13"/>
      <c r="U58" s="13"/>
      <c r="V58" s="13"/>
      <c r="W58" s="13"/>
    </row>
    <row r="59" spans="1:23" s="14" customFormat="1" ht="12.75">
      <c r="A59" s="23"/>
      <c r="B59" s="24" t="s">
        <v>12</v>
      </c>
      <c r="C59" s="24"/>
      <c r="D59" s="54"/>
      <c r="E59" s="10"/>
      <c r="F59" s="10"/>
      <c r="G59" s="10"/>
      <c r="H59" s="74"/>
      <c r="I59" s="54"/>
      <c r="J59" s="10"/>
      <c r="K59" s="10"/>
      <c r="L59" s="10"/>
      <c r="M59" s="74"/>
      <c r="N59" s="54" t="s">
        <v>36</v>
      </c>
      <c r="O59" s="44" t="s">
        <v>36</v>
      </c>
      <c r="P59" s="22"/>
      <c r="Q59" s="13"/>
      <c r="R59" s="13"/>
      <c r="S59" s="13"/>
      <c r="T59" s="13"/>
      <c r="U59" s="13"/>
      <c r="V59" s="13"/>
      <c r="W59" s="13"/>
    </row>
    <row r="60" spans="1:23" s="14" customFormat="1" ht="12.75">
      <c r="A60" s="21"/>
      <c r="B60" s="18"/>
      <c r="C60" s="18" t="s">
        <v>43</v>
      </c>
      <c r="D60" s="54">
        <v>29984</v>
      </c>
      <c r="E60" s="10">
        <v>266.7</v>
      </c>
      <c r="F60" s="10">
        <v>8712</v>
      </c>
      <c r="G60" s="10">
        <v>6815</v>
      </c>
      <c r="H60" s="74">
        <v>45777.7</v>
      </c>
      <c r="I60" s="54">
        <v>32683</v>
      </c>
      <c r="J60" s="10">
        <v>266.7</v>
      </c>
      <c r="K60" s="10">
        <v>8901</v>
      </c>
      <c r="L60" s="55">
        <v>6642</v>
      </c>
      <c r="M60" s="74">
        <f>SUM(I60,J60:L60)</f>
        <v>48492.7</v>
      </c>
      <c r="N60" s="54">
        <f>M60-H60</f>
        <v>2715</v>
      </c>
      <c r="O60" s="44">
        <f>N60/H60</f>
        <v>0.059308353193803974</v>
      </c>
      <c r="P60" s="22"/>
      <c r="Q60" s="13"/>
      <c r="R60" s="13"/>
      <c r="S60" s="13"/>
      <c r="T60" s="13"/>
      <c r="U60" s="13"/>
      <c r="V60" s="13"/>
      <c r="W60" s="13"/>
    </row>
    <row r="61" spans="1:23" s="14" customFormat="1" ht="12.75">
      <c r="A61" s="21"/>
      <c r="B61" s="18"/>
      <c r="C61" s="18" t="s">
        <v>44</v>
      </c>
      <c r="D61" s="54">
        <v>26484</v>
      </c>
      <c r="E61" s="10">
        <v>266.7</v>
      </c>
      <c r="F61" s="10">
        <v>8712</v>
      </c>
      <c r="G61" s="10">
        <v>6815</v>
      </c>
      <c r="H61" s="74">
        <v>42277.7</v>
      </c>
      <c r="I61" s="54">
        <v>28867.56</v>
      </c>
      <c r="J61" s="10">
        <v>266.7</v>
      </c>
      <c r="K61" s="10">
        <v>8901</v>
      </c>
      <c r="L61" s="55">
        <v>6642</v>
      </c>
      <c r="M61" s="74">
        <f>SUM(I61,J61:L61)</f>
        <v>44677.26</v>
      </c>
      <c r="N61" s="54">
        <f>M61-H61</f>
        <v>2399.560000000005</v>
      </c>
      <c r="O61" s="44">
        <f>N61/H61</f>
        <v>0.05675710835736109</v>
      </c>
      <c r="P61" s="22"/>
      <c r="Q61" s="13"/>
      <c r="R61" s="13"/>
      <c r="S61" s="13"/>
      <c r="T61" s="13"/>
      <c r="U61" s="13"/>
      <c r="V61" s="13"/>
      <c r="W61" s="13"/>
    </row>
    <row r="62" spans="1:23" s="14" customFormat="1" ht="12.75">
      <c r="A62" s="21"/>
      <c r="B62" s="18"/>
      <c r="C62" s="18" t="s">
        <v>45</v>
      </c>
      <c r="D62" s="35">
        <v>11970</v>
      </c>
      <c r="E62" s="57">
        <v>266.7</v>
      </c>
      <c r="F62" s="10">
        <v>8712</v>
      </c>
      <c r="G62" s="10">
        <v>6815</v>
      </c>
      <c r="H62" s="74">
        <v>27763.7</v>
      </c>
      <c r="I62" s="54">
        <f>6285*2</f>
        <v>12570</v>
      </c>
      <c r="J62" s="57">
        <v>266.7</v>
      </c>
      <c r="K62" s="10">
        <v>8901</v>
      </c>
      <c r="L62" s="55">
        <v>6642</v>
      </c>
      <c r="M62" s="74">
        <f>SUM(I62,J62:L62)</f>
        <v>28379.7</v>
      </c>
      <c r="N62" s="54">
        <f>M62-H62</f>
        <v>616</v>
      </c>
      <c r="O62" s="44">
        <f>N62/H62</f>
        <v>0.022187244495510326</v>
      </c>
      <c r="P62" s="22"/>
      <c r="Q62" s="13"/>
      <c r="R62" s="13"/>
      <c r="S62" s="13"/>
      <c r="T62" s="13"/>
      <c r="U62" s="13"/>
      <c r="V62" s="13"/>
      <c r="W62" s="13"/>
    </row>
    <row r="63" spans="1:23" s="14" customFormat="1" ht="12.75">
      <c r="A63" s="21"/>
      <c r="B63" s="18"/>
      <c r="C63" s="18" t="s">
        <v>37</v>
      </c>
      <c r="D63" s="54">
        <v>14250</v>
      </c>
      <c r="E63" s="57">
        <v>266.7</v>
      </c>
      <c r="F63" s="10">
        <v>8712</v>
      </c>
      <c r="G63" s="10">
        <v>6815</v>
      </c>
      <c r="H63" s="74">
        <v>30043.7</v>
      </c>
      <c r="I63" s="54">
        <f>7350*2</f>
        <v>14700</v>
      </c>
      <c r="J63" s="57">
        <v>266.7</v>
      </c>
      <c r="K63" s="10">
        <v>8901</v>
      </c>
      <c r="L63" s="55">
        <v>6642</v>
      </c>
      <c r="M63" s="74">
        <f>SUM(I63,J63:L63)</f>
        <v>30509.7</v>
      </c>
      <c r="N63" s="54">
        <f>M63-H63</f>
        <v>466</v>
      </c>
      <c r="O63" s="44">
        <f>N63/H63</f>
        <v>0.015510739356337601</v>
      </c>
      <c r="P63" s="22"/>
      <c r="Q63" s="13"/>
      <c r="R63" s="13"/>
      <c r="S63" s="13"/>
      <c r="T63" s="13"/>
      <c r="U63" s="13"/>
      <c r="V63" s="13"/>
      <c r="W63" s="13"/>
    </row>
    <row r="64" spans="1:23" s="14" customFormat="1" ht="13.5" thickBot="1">
      <c r="A64" s="25"/>
      <c r="B64" s="26"/>
      <c r="C64" s="26" t="s">
        <v>46</v>
      </c>
      <c r="D64" s="66">
        <v>20910</v>
      </c>
      <c r="E64" s="67">
        <v>266.7</v>
      </c>
      <c r="F64" s="67">
        <v>8712</v>
      </c>
      <c r="G64" s="67">
        <v>6815</v>
      </c>
      <c r="H64" s="82">
        <v>36703.7</v>
      </c>
      <c r="I64" s="66">
        <v>22582</v>
      </c>
      <c r="J64" s="67">
        <v>266.7</v>
      </c>
      <c r="K64" s="67">
        <v>8901</v>
      </c>
      <c r="L64" s="68">
        <v>6642</v>
      </c>
      <c r="M64" s="82">
        <f>SUM(I64,J64:L64)</f>
        <v>38391.7</v>
      </c>
      <c r="N64" s="66">
        <f>M64-H64</f>
        <v>1688</v>
      </c>
      <c r="O64" s="48">
        <f>N64/H64</f>
        <v>0.04598991382340201</v>
      </c>
      <c r="P64" s="22"/>
      <c r="Q64" s="13"/>
      <c r="R64" s="13"/>
      <c r="S64" s="13"/>
      <c r="T64" s="13"/>
      <c r="U64" s="13"/>
      <c r="V64" s="13"/>
      <c r="W64" s="13"/>
    </row>
    <row r="65" spans="1:23" s="7" customFormat="1" ht="25.5" customHeight="1">
      <c r="A65" s="8" t="s">
        <v>25</v>
      </c>
      <c r="B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9"/>
      <c r="P65" s="6"/>
      <c r="Q65" s="6"/>
      <c r="R65" s="6"/>
      <c r="S65" s="6"/>
      <c r="T65" s="6"/>
      <c r="U65" s="6"/>
      <c r="V65" s="6"/>
      <c r="W65" s="6"/>
    </row>
    <row r="66" spans="1:23" s="14" customFormat="1" ht="12.75">
      <c r="A66" s="18"/>
      <c r="B66" s="36" t="s">
        <v>62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7"/>
      <c r="P66" s="13"/>
      <c r="Q66" s="13"/>
      <c r="R66" s="13"/>
      <c r="S66" s="13"/>
      <c r="T66" s="13"/>
      <c r="U66" s="13"/>
      <c r="V66" s="13"/>
      <c r="W66" s="13"/>
    </row>
    <row r="67" spans="1:23" s="14" customFormat="1" ht="14.25" customHeight="1">
      <c r="A67" s="18"/>
      <c r="B67" s="18" t="s">
        <v>69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7"/>
      <c r="P67" s="13"/>
      <c r="Q67" s="13"/>
      <c r="R67" s="13"/>
      <c r="S67" s="13"/>
      <c r="T67" s="13"/>
      <c r="U67" s="13"/>
      <c r="V67" s="13"/>
      <c r="W67" s="13"/>
    </row>
    <row r="68" spans="2:23" s="14" customFormat="1" ht="25.5" customHeight="1">
      <c r="B68" s="103" t="s">
        <v>66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3"/>
      <c r="Q68" s="13"/>
      <c r="R68" s="13"/>
      <c r="S68" s="13"/>
      <c r="T68" s="13"/>
      <c r="U68" s="13"/>
      <c r="V68" s="13"/>
      <c r="W68" s="13"/>
    </row>
    <row r="69" spans="2:23" s="14" customFormat="1" ht="12.75">
      <c r="B69" s="14" t="s">
        <v>63</v>
      </c>
      <c r="H69" s="28"/>
      <c r="M69" s="28"/>
      <c r="O69" s="28"/>
      <c r="P69" s="13"/>
      <c r="Q69" s="13"/>
      <c r="R69" s="13"/>
      <c r="S69" s="13"/>
      <c r="T69" s="13"/>
      <c r="U69" s="13"/>
      <c r="V69" s="13"/>
      <c r="W69" s="13"/>
    </row>
    <row r="70" spans="2:23" s="14" customFormat="1" ht="12.75">
      <c r="B70" s="18" t="s">
        <v>68</v>
      </c>
      <c r="H70" s="28"/>
      <c r="M70" s="28"/>
      <c r="O70" s="28"/>
      <c r="P70" s="13"/>
      <c r="Q70" s="13"/>
      <c r="R70" s="13"/>
      <c r="S70" s="13"/>
      <c r="T70" s="13"/>
      <c r="U70" s="13"/>
      <c r="V70" s="13"/>
      <c r="W70" s="13"/>
    </row>
    <row r="71" spans="2:23" s="14" customFormat="1" ht="12.75">
      <c r="B71" s="16" t="s">
        <v>67</v>
      </c>
      <c r="H71" s="28"/>
      <c r="M71" s="28"/>
      <c r="O71" s="28"/>
      <c r="P71" s="13"/>
      <c r="Q71" s="13"/>
      <c r="R71" s="13"/>
      <c r="S71" s="13"/>
      <c r="T71" s="13"/>
      <c r="U71" s="13"/>
      <c r="V71" s="13"/>
      <c r="W71" s="13"/>
    </row>
  </sheetData>
  <sheetProtection/>
  <mergeCells count="1">
    <mergeCell ref="B68:O68"/>
  </mergeCells>
  <printOptions horizontalCentered="1"/>
  <pageMargins left="0.55" right="0.56" top="0.59" bottom="0.5" header="0.22" footer="0.01"/>
  <pageSetup fitToHeight="2" fitToWidth="1" horizontalDpi="600" verticalDpi="600" orientation="portrait" scale="64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2.00390625" style="16" customWidth="1"/>
    <col min="2" max="2" width="2.28125" style="16" customWidth="1"/>
    <col min="3" max="3" width="34.00390625" style="16" customWidth="1"/>
    <col min="4" max="4" width="9.8515625" style="16" customWidth="1"/>
    <col min="5" max="5" width="9.421875" style="16" bestFit="1" customWidth="1"/>
    <col min="6" max="7" width="8.8515625" style="16" customWidth="1"/>
    <col min="8" max="8" width="10.00390625" style="29" customWidth="1"/>
    <col min="9" max="9" width="9.421875" style="16" customWidth="1"/>
    <col min="10" max="10" width="9.140625" style="16" bestFit="1" customWidth="1"/>
    <col min="11" max="11" width="10.00390625" style="16" customWidth="1"/>
    <col min="12" max="12" width="8.8515625" style="16" customWidth="1"/>
    <col min="13" max="13" width="8.8515625" style="29" customWidth="1"/>
    <col min="14" max="14" width="10.421875" style="16" customWidth="1"/>
    <col min="15" max="15" width="11.421875" style="29" bestFit="1" customWidth="1"/>
    <col min="16" max="20" width="8.8515625" style="15" customWidth="1"/>
    <col min="21" max="16384" width="9.140625" style="16" customWidth="1"/>
  </cols>
  <sheetData>
    <row r="1" spans="1:20" s="14" customFormat="1" ht="15.75" customHeight="1">
      <c r="A1" s="86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3"/>
      <c r="Q1" s="13"/>
      <c r="R1" s="13"/>
      <c r="S1" s="13"/>
      <c r="T1" s="13"/>
    </row>
    <row r="2" spans="1:20" s="14" customFormat="1" ht="15.75" customHeight="1">
      <c r="A2" s="86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5"/>
      <c r="Q2" s="13"/>
      <c r="R2" s="13"/>
      <c r="S2" s="13"/>
      <c r="T2" s="13"/>
    </row>
    <row r="3" spans="1:20" s="14" customFormat="1" ht="15.75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3"/>
      <c r="Q3" s="13"/>
      <c r="R3" s="13"/>
      <c r="S3" s="13"/>
      <c r="T3" s="13"/>
    </row>
    <row r="4" spans="1:20" s="7" customFormat="1" ht="18.75" customHeight="1">
      <c r="A4" s="122"/>
      <c r="B4" s="123"/>
      <c r="C4" s="123"/>
      <c r="D4" s="124" t="s">
        <v>48</v>
      </c>
      <c r="E4" s="125"/>
      <c r="F4" s="125"/>
      <c r="G4" s="125"/>
      <c r="H4" s="126"/>
      <c r="I4" s="127" t="s">
        <v>56</v>
      </c>
      <c r="J4" s="125"/>
      <c r="K4" s="125"/>
      <c r="L4" s="125"/>
      <c r="M4" s="128"/>
      <c r="N4" s="129" t="s">
        <v>16</v>
      </c>
      <c r="O4" s="130" t="s">
        <v>17</v>
      </c>
      <c r="P4" s="6"/>
      <c r="Q4" s="6"/>
      <c r="R4" s="6"/>
      <c r="S4" s="6"/>
      <c r="T4" s="6"/>
    </row>
    <row r="5" spans="1:20" s="7" customFormat="1" ht="18.75" customHeight="1">
      <c r="A5" s="131" t="s">
        <v>71</v>
      </c>
      <c r="B5" s="132"/>
      <c r="C5" s="114"/>
      <c r="D5" s="133" t="s">
        <v>19</v>
      </c>
      <c r="E5" s="134" t="s">
        <v>79</v>
      </c>
      <c r="F5" s="134" t="s">
        <v>80</v>
      </c>
      <c r="G5" s="134" t="s">
        <v>81</v>
      </c>
      <c r="H5" s="135" t="s">
        <v>18</v>
      </c>
      <c r="I5" s="134" t="s">
        <v>19</v>
      </c>
      <c r="J5" s="134" t="s">
        <v>79</v>
      </c>
      <c r="K5" s="134" t="s">
        <v>80</v>
      </c>
      <c r="L5" s="134" t="s">
        <v>81</v>
      </c>
      <c r="M5" s="136" t="s">
        <v>18</v>
      </c>
      <c r="N5" s="134" t="s">
        <v>0</v>
      </c>
      <c r="O5" s="137" t="s">
        <v>0</v>
      </c>
      <c r="P5" s="6"/>
      <c r="Q5" s="6"/>
      <c r="R5" s="6"/>
      <c r="S5" s="6"/>
      <c r="T5" s="6"/>
    </row>
    <row r="6" spans="1:15" ht="15">
      <c r="A6" s="92" t="s">
        <v>13</v>
      </c>
      <c r="B6" s="93"/>
      <c r="C6" s="93"/>
      <c r="D6" s="93"/>
      <c r="E6" s="93"/>
      <c r="F6" s="93"/>
      <c r="G6" s="93"/>
      <c r="H6" s="97"/>
      <c r="I6" s="93"/>
      <c r="J6" s="93"/>
      <c r="K6" s="93"/>
      <c r="L6" s="93"/>
      <c r="M6" s="97"/>
      <c r="N6" s="93"/>
      <c r="O6" s="95"/>
    </row>
    <row r="7" spans="1:15" ht="14.25">
      <c r="A7" s="88"/>
      <c r="B7" s="73" t="s">
        <v>33</v>
      </c>
      <c r="C7" s="73"/>
      <c r="D7" s="72"/>
      <c r="E7" s="73"/>
      <c r="F7" s="73"/>
      <c r="G7" s="73"/>
      <c r="H7" s="79"/>
      <c r="I7" s="72"/>
      <c r="J7" s="73"/>
      <c r="K7" s="73"/>
      <c r="L7" s="73"/>
      <c r="M7" s="79"/>
      <c r="N7" s="72"/>
      <c r="O7" s="79"/>
    </row>
    <row r="8" spans="1:15" ht="14.25">
      <c r="A8" s="88"/>
      <c r="B8" s="73"/>
      <c r="C8" s="73" t="s">
        <v>27</v>
      </c>
      <c r="D8" s="54">
        <v>28850</v>
      </c>
      <c r="E8" s="10">
        <v>1480.22</v>
      </c>
      <c r="F8" s="10">
        <v>11278</v>
      </c>
      <c r="G8" s="55">
        <v>6815</v>
      </c>
      <c r="H8" s="56">
        <v>48423.22</v>
      </c>
      <c r="I8" s="84">
        <v>29952</v>
      </c>
      <c r="J8" s="10">
        <v>1434</v>
      </c>
      <c r="K8" s="10">
        <f>5865*2</f>
        <v>11730</v>
      </c>
      <c r="L8" s="55">
        <v>6642</v>
      </c>
      <c r="M8" s="74">
        <f>I8+J8+K8+L8</f>
        <v>49758</v>
      </c>
      <c r="N8" s="54">
        <f>M8-H8</f>
        <v>1334.7799999999988</v>
      </c>
      <c r="O8" s="58">
        <f>N8/H8</f>
        <v>0.027564874867883605</v>
      </c>
    </row>
    <row r="9" spans="1:15" ht="14.25">
      <c r="A9" s="88"/>
      <c r="B9" s="73"/>
      <c r="C9" s="73" t="s">
        <v>26</v>
      </c>
      <c r="D9" s="54">
        <v>29150</v>
      </c>
      <c r="E9" s="10">
        <v>1480.22</v>
      </c>
      <c r="F9" s="10">
        <v>11278</v>
      </c>
      <c r="G9" s="55">
        <v>6815</v>
      </c>
      <c r="H9" s="56">
        <v>48723.22</v>
      </c>
      <c r="I9" s="84">
        <v>30258</v>
      </c>
      <c r="J9" s="10">
        <v>1434</v>
      </c>
      <c r="K9" s="10">
        <f>5865*2</f>
        <v>11730</v>
      </c>
      <c r="L9" s="55">
        <v>6642</v>
      </c>
      <c r="M9" s="74">
        <f>I9+J9+K9+L9</f>
        <v>50064</v>
      </c>
      <c r="N9" s="54">
        <f>M9-H9</f>
        <v>1340.7799999999988</v>
      </c>
      <c r="O9" s="58">
        <f>N9/H9</f>
        <v>0.027518296204561168</v>
      </c>
    </row>
    <row r="10" spans="1:15" ht="14.25">
      <c r="A10" s="88"/>
      <c r="B10" s="73"/>
      <c r="C10" s="73" t="s">
        <v>3</v>
      </c>
      <c r="D10" s="54">
        <v>31300</v>
      </c>
      <c r="E10" s="10">
        <v>1480.22</v>
      </c>
      <c r="F10" s="10">
        <v>11278</v>
      </c>
      <c r="G10" s="55">
        <v>6815</v>
      </c>
      <c r="H10" s="56">
        <v>50873.22</v>
      </c>
      <c r="I10" s="84">
        <v>32490</v>
      </c>
      <c r="J10" s="10">
        <v>1434</v>
      </c>
      <c r="K10" s="10">
        <f>5865*2</f>
        <v>11730</v>
      </c>
      <c r="L10" s="55">
        <v>6642</v>
      </c>
      <c r="M10" s="74">
        <f>I10+J10+K10+L10</f>
        <v>52296</v>
      </c>
      <c r="N10" s="54">
        <f>M10-H10</f>
        <v>1422.7799999999988</v>
      </c>
      <c r="O10" s="58">
        <f>N10/H10</f>
        <v>0.02796717015356997</v>
      </c>
    </row>
    <row r="11" spans="1:16" ht="14.25">
      <c r="A11" s="88"/>
      <c r="B11" s="73"/>
      <c r="C11" s="73" t="s">
        <v>2</v>
      </c>
      <c r="D11" s="59">
        <v>32400</v>
      </c>
      <c r="E11" s="60">
        <v>1480.22</v>
      </c>
      <c r="F11" s="10">
        <v>11278</v>
      </c>
      <c r="G11" s="61">
        <v>6815</v>
      </c>
      <c r="H11" s="62">
        <v>51973.22</v>
      </c>
      <c r="I11" s="85">
        <v>33462</v>
      </c>
      <c r="J11" s="60">
        <v>1434</v>
      </c>
      <c r="K11" s="10">
        <f>5865*2</f>
        <v>11730</v>
      </c>
      <c r="L11" s="61">
        <v>6642</v>
      </c>
      <c r="M11" s="75">
        <f>I11+J11+K11+L11</f>
        <v>53268</v>
      </c>
      <c r="N11" s="59">
        <f>M11-H11</f>
        <v>1294.7799999999988</v>
      </c>
      <c r="O11" s="64">
        <f>N11/H11</f>
        <v>0.02491244529394174</v>
      </c>
      <c r="P11" s="17"/>
    </row>
    <row r="12" spans="1:15" ht="14.25">
      <c r="A12" s="90"/>
      <c r="B12" s="76" t="s">
        <v>4</v>
      </c>
      <c r="C12" s="76"/>
      <c r="D12" s="54"/>
      <c r="E12" s="10"/>
      <c r="F12" s="70"/>
      <c r="G12" s="55"/>
      <c r="H12" s="56"/>
      <c r="I12" s="84"/>
      <c r="J12" s="10"/>
      <c r="K12" s="70"/>
      <c r="L12" s="55"/>
      <c r="M12" s="74"/>
      <c r="N12" s="54"/>
      <c r="O12" s="58"/>
    </row>
    <row r="13" spans="1:15" ht="14.25">
      <c r="A13" s="88"/>
      <c r="B13" s="73"/>
      <c r="C13" s="73" t="s">
        <v>27</v>
      </c>
      <c r="D13" s="54">
        <v>25254</v>
      </c>
      <c r="E13" s="10">
        <v>1489.22</v>
      </c>
      <c r="F13" s="10">
        <v>8712</v>
      </c>
      <c r="G13" s="55">
        <v>6815</v>
      </c>
      <c r="H13" s="56">
        <v>42270.22</v>
      </c>
      <c r="I13" s="84">
        <v>26208</v>
      </c>
      <c r="J13" s="10">
        <v>1443</v>
      </c>
      <c r="K13" s="10">
        <v>8901</v>
      </c>
      <c r="L13" s="55">
        <v>6642</v>
      </c>
      <c r="M13" s="74">
        <f aca="true" t="shared" si="0" ref="M13:M19">I13+J13+K13+L13</f>
        <v>43194</v>
      </c>
      <c r="N13" s="54">
        <f aca="true" t="shared" si="1" ref="N13:N19">M13-H13</f>
        <v>923.7799999999988</v>
      </c>
      <c r="O13" s="58">
        <f aca="true" t="shared" si="2" ref="O13:O19">N13/H13</f>
        <v>0.021854156425019762</v>
      </c>
    </row>
    <row r="14" spans="1:15" ht="14.25">
      <c r="A14" s="88"/>
      <c r="B14" s="73"/>
      <c r="C14" s="73" t="s">
        <v>26</v>
      </c>
      <c r="D14" s="54">
        <v>25542</v>
      </c>
      <c r="E14" s="10">
        <v>1489.22</v>
      </c>
      <c r="F14" s="10">
        <v>8712</v>
      </c>
      <c r="G14" s="55">
        <v>6815</v>
      </c>
      <c r="H14" s="56">
        <v>42558.22</v>
      </c>
      <c r="I14" s="84">
        <v>26514</v>
      </c>
      <c r="J14" s="10">
        <v>1443</v>
      </c>
      <c r="K14" s="10">
        <v>8901</v>
      </c>
      <c r="L14" s="55">
        <v>6642</v>
      </c>
      <c r="M14" s="74">
        <f t="shared" si="0"/>
        <v>43500</v>
      </c>
      <c r="N14" s="54">
        <f t="shared" si="1"/>
        <v>941.7799999999988</v>
      </c>
      <c r="O14" s="58">
        <f t="shared" si="2"/>
        <v>0.022129214990664524</v>
      </c>
    </row>
    <row r="15" spans="1:15" ht="14.25">
      <c r="A15" s="88"/>
      <c r="B15" s="73"/>
      <c r="C15" s="73" t="s">
        <v>3</v>
      </c>
      <c r="D15" s="54">
        <v>27558</v>
      </c>
      <c r="E15" s="10">
        <v>1489.22</v>
      </c>
      <c r="F15" s="10">
        <v>8712</v>
      </c>
      <c r="G15" s="55">
        <v>6815</v>
      </c>
      <c r="H15" s="56">
        <v>44574.22</v>
      </c>
      <c r="I15" s="84">
        <v>28602</v>
      </c>
      <c r="J15" s="10">
        <v>1443</v>
      </c>
      <c r="K15" s="10">
        <v>8901</v>
      </c>
      <c r="L15" s="55">
        <v>6642</v>
      </c>
      <c r="M15" s="74">
        <f t="shared" si="0"/>
        <v>45588</v>
      </c>
      <c r="N15" s="54">
        <f t="shared" si="1"/>
        <v>1013.7799999999988</v>
      </c>
      <c r="O15" s="58">
        <f t="shared" si="2"/>
        <v>0.022743639709231003</v>
      </c>
    </row>
    <row r="16" spans="1:15" ht="14.25">
      <c r="A16" s="88"/>
      <c r="B16" s="73"/>
      <c r="C16" s="73" t="s">
        <v>6</v>
      </c>
      <c r="D16" s="54">
        <v>28368</v>
      </c>
      <c r="E16" s="10">
        <v>1489.22</v>
      </c>
      <c r="F16" s="10">
        <v>8712</v>
      </c>
      <c r="G16" s="55">
        <v>6815</v>
      </c>
      <c r="H16" s="56">
        <v>45384.22</v>
      </c>
      <c r="I16" s="84">
        <v>29448</v>
      </c>
      <c r="J16" s="10">
        <v>1443</v>
      </c>
      <c r="K16" s="10">
        <v>8901</v>
      </c>
      <c r="L16" s="55">
        <v>6642</v>
      </c>
      <c r="M16" s="74">
        <f t="shared" si="0"/>
        <v>46434</v>
      </c>
      <c r="N16" s="54">
        <f t="shared" si="1"/>
        <v>1049.7799999999988</v>
      </c>
      <c r="O16" s="58">
        <f t="shared" si="2"/>
        <v>0.02313094727638811</v>
      </c>
    </row>
    <row r="17" spans="1:15" ht="14.25">
      <c r="A17" s="88"/>
      <c r="B17" s="73"/>
      <c r="C17" s="73" t="s">
        <v>5</v>
      </c>
      <c r="D17" s="54">
        <v>28800</v>
      </c>
      <c r="E17" s="10">
        <v>1489.22</v>
      </c>
      <c r="F17" s="10">
        <v>8712</v>
      </c>
      <c r="G17" s="55">
        <v>6815</v>
      </c>
      <c r="H17" s="56">
        <v>45816.22</v>
      </c>
      <c r="I17" s="84">
        <v>29898</v>
      </c>
      <c r="J17" s="10">
        <v>1443</v>
      </c>
      <c r="K17" s="10">
        <v>8901</v>
      </c>
      <c r="L17" s="55">
        <v>6642</v>
      </c>
      <c r="M17" s="74">
        <f t="shared" si="0"/>
        <v>46884</v>
      </c>
      <c r="N17" s="54">
        <f t="shared" si="1"/>
        <v>1067.7799999999988</v>
      </c>
      <c r="O17" s="58">
        <f t="shared" si="2"/>
        <v>0.023305720113968347</v>
      </c>
    </row>
    <row r="18" spans="1:15" ht="14.25">
      <c r="A18" s="88"/>
      <c r="B18" s="73"/>
      <c r="C18" s="73" t="s">
        <v>41</v>
      </c>
      <c r="D18" s="54">
        <v>35622</v>
      </c>
      <c r="E18" s="10">
        <v>1489.22</v>
      </c>
      <c r="F18" s="10">
        <v>8712</v>
      </c>
      <c r="G18" s="55">
        <v>6815</v>
      </c>
      <c r="H18" s="56">
        <v>52638.22</v>
      </c>
      <c r="I18" s="84">
        <f>18252*2</f>
        <v>36504</v>
      </c>
      <c r="J18" s="10">
        <v>1443</v>
      </c>
      <c r="K18" s="10">
        <v>8901</v>
      </c>
      <c r="L18" s="55">
        <v>6642</v>
      </c>
      <c r="M18" s="74">
        <f t="shared" si="0"/>
        <v>53490</v>
      </c>
      <c r="N18" s="54">
        <f t="shared" si="1"/>
        <v>851.7799999999988</v>
      </c>
      <c r="O18" s="58">
        <f t="shared" si="2"/>
        <v>0.01618177818322882</v>
      </c>
    </row>
    <row r="19" spans="1:15" ht="14.25">
      <c r="A19" s="88"/>
      <c r="B19" s="73"/>
      <c r="C19" s="18" t="s">
        <v>40</v>
      </c>
      <c r="D19" s="54">
        <v>36800</v>
      </c>
      <c r="E19" s="10">
        <v>1489.22</v>
      </c>
      <c r="F19" s="10">
        <v>8712</v>
      </c>
      <c r="G19" s="55">
        <v>6815</v>
      </c>
      <c r="H19" s="56">
        <v>53816.22</v>
      </c>
      <c r="I19" s="84">
        <f>18400*2</f>
        <v>36800</v>
      </c>
      <c r="J19" s="10">
        <v>1443</v>
      </c>
      <c r="K19" s="10">
        <v>8901</v>
      </c>
      <c r="L19" s="55">
        <v>6642</v>
      </c>
      <c r="M19" s="74">
        <f t="shared" si="0"/>
        <v>53786</v>
      </c>
      <c r="N19" s="54">
        <f t="shared" si="1"/>
        <v>-30.220000000001164</v>
      </c>
      <c r="O19" s="58">
        <f t="shared" si="2"/>
        <v>-0.0005615407399479406</v>
      </c>
    </row>
    <row r="20" spans="1:15" ht="15">
      <c r="A20" s="92" t="s">
        <v>7</v>
      </c>
      <c r="B20" s="93"/>
      <c r="C20" s="93"/>
      <c r="D20" s="94"/>
      <c r="E20" s="94"/>
      <c r="F20" s="93"/>
      <c r="G20" s="94"/>
      <c r="H20" s="98"/>
      <c r="I20" s="94"/>
      <c r="J20" s="94"/>
      <c r="K20" s="93"/>
      <c r="L20" s="94"/>
      <c r="M20" s="98"/>
      <c r="N20" s="94"/>
      <c r="O20" s="95"/>
    </row>
    <row r="21" spans="1:15" ht="14.25">
      <c r="A21" s="88"/>
      <c r="B21" s="73" t="s">
        <v>1</v>
      </c>
      <c r="C21" s="73"/>
      <c r="D21" s="78"/>
      <c r="E21" s="55"/>
      <c r="F21" s="73"/>
      <c r="G21" s="55"/>
      <c r="H21" s="77"/>
      <c r="I21" s="78"/>
      <c r="J21" s="55"/>
      <c r="K21" s="73"/>
      <c r="L21" s="55"/>
      <c r="M21" s="77"/>
      <c r="N21" s="78"/>
      <c r="O21" s="79"/>
    </row>
    <row r="22" spans="1:15" ht="14.25">
      <c r="A22" s="88"/>
      <c r="B22" s="73"/>
      <c r="C22" s="73" t="s">
        <v>39</v>
      </c>
      <c r="D22" s="54">
        <v>16240</v>
      </c>
      <c r="E22" s="10">
        <v>1174</v>
      </c>
      <c r="F22" s="10">
        <v>7990</v>
      </c>
      <c r="G22" s="55">
        <v>6815</v>
      </c>
      <c r="H22" s="56">
        <v>32219</v>
      </c>
      <c r="I22" s="54">
        <f>8360*2</f>
        <v>16720</v>
      </c>
      <c r="J22" s="10">
        <v>1189</v>
      </c>
      <c r="K22" s="10">
        <f>4150*2</f>
        <v>8300</v>
      </c>
      <c r="L22" s="55">
        <v>6642</v>
      </c>
      <c r="M22" s="74">
        <f>I22+J22+K22+L22</f>
        <v>32851</v>
      </c>
      <c r="N22" s="54">
        <f>M22-H22</f>
        <v>632</v>
      </c>
      <c r="O22" s="58">
        <f>N22/H22</f>
        <v>0.01961575467891617</v>
      </c>
    </row>
    <row r="23" spans="1:15" ht="14.25">
      <c r="A23" s="88"/>
      <c r="B23" s="73"/>
      <c r="C23" s="73" t="s">
        <v>29</v>
      </c>
      <c r="D23" s="54">
        <v>16460</v>
      </c>
      <c r="E23" s="10">
        <v>1174</v>
      </c>
      <c r="F23" s="10">
        <v>7990</v>
      </c>
      <c r="G23" s="55">
        <v>6815</v>
      </c>
      <c r="H23" s="56">
        <v>32439</v>
      </c>
      <c r="I23" s="54">
        <f>8480*2</f>
        <v>16960</v>
      </c>
      <c r="J23" s="10">
        <v>1189</v>
      </c>
      <c r="K23" s="10">
        <v>8300</v>
      </c>
      <c r="L23" s="55">
        <v>6642</v>
      </c>
      <c r="M23" s="74">
        <f>I23+J23+K23+L23</f>
        <v>33091</v>
      </c>
      <c r="N23" s="54">
        <f>M23-H23</f>
        <v>652</v>
      </c>
      <c r="O23" s="58">
        <f>N23/H23</f>
        <v>0.020099263232528745</v>
      </c>
    </row>
    <row r="24" spans="1:15" ht="14.25">
      <c r="A24" s="88"/>
      <c r="B24" s="73"/>
      <c r="C24" s="73" t="s">
        <v>30</v>
      </c>
      <c r="D24" s="54">
        <v>16760</v>
      </c>
      <c r="E24" s="10">
        <v>1174</v>
      </c>
      <c r="F24" s="10">
        <v>7990</v>
      </c>
      <c r="G24" s="55">
        <v>6815</v>
      </c>
      <c r="H24" s="56">
        <v>32739</v>
      </c>
      <c r="I24" s="54">
        <f>8630*2</f>
        <v>17260</v>
      </c>
      <c r="J24" s="10">
        <v>1189</v>
      </c>
      <c r="K24" s="10">
        <v>8300</v>
      </c>
      <c r="L24" s="55">
        <v>6642</v>
      </c>
      <c r="M24" s="74">
        <f>I24+J24+K24+L24</f>
        <v>33391</v>
      </c>
      <c r="N24" s="54">
        <f>M24-H24</f>
        <v>652</v>
      </c>
      <c r="O24" s="58">
        <f>N24/H24</f>
        <v>0.019915085983078284</v>
      </c>
    </row>
    <row r="25" spans="1:15" ht="14.25">
      <c r="A25" s="88"/>
      <c r="B25" s="73"/>
      <c r="C25" s="73" t="s">
        <v>24</v>
      </c>
      <c r="D25" s="59">
        <v>16760</v>
      </c>
      <c r="E25" s="60">
        <v>1174</v>
      </c>
      <c r="F25" s="10">
        <v>7990</v>
      </c>
      <c r="G25" s="61">
        <v>6815</v>
      </c>
      <c r="H25" s="62">
        <v>32739</v>
      </c>
      <c r="I25" s="59">
        <v>17260</v>
      </c>
      <c r="J25" s="60">
        <v>1189</v>
      </c>
      <c r="K25" s="10">
        <v>8300</v>
      </c>
      <c r="L25" s="61">
        <v>6642</v>
      </c>
      <c r="M25" s="75">
        <f>I25+J25+K25+L25</f>
        <v>33391</v>
      </c>
      <c r="N25" s="59">
        <f>M25-H25</f>
        <v>652</v>
      </c>
      <c r="O25" s="64">
        <f>N25/H25</f>
        <v>0.019915085983078284</v>
      </c>
    </row>
    <row r="26" spans="1:15" ht="14.25">
      <c r="A26" s="90"/>
      <c r="B26" s="76" t="s">
        <v>4</v>
      </c>
      <c r="C26" s="76"/>
      <c r="D26" s="54"/>
      <c r="E26" s="10"/>
      <c r="F26" s="70"/>
      <c r="G26" s="55"/>
      <c r="H26" s="56"/>
      <c r="I26" s="54"/>
      <c r="J26" s="10"/>
      <c r="K26" s="70"/>
      <c r="L26" s="55"/>
      <c r="M26" s="74"/>
      <c r="N26" s="54"/>
      <c r="O26" s="58"/>
    </row>
    <row r="27" spans="1:15" ht="14.25">
      <c r="A27" s="88"/>
      <c r="B27" s="73"/>
      <c r="C27" s="73" t="s">
        <v>22</v>
      </c>
      <c r="D27" s="54">
        <v>17820</v>
      </c>
      <c r="E27" s="10">
        <v>1174</v>
      </c>
      <c r="F27" s="10">
        <v>8712</v>
      </c>
      <c r="G27" s="55">
        <v>6815</v>
      </c>
      <c r="H27" s="56">
        <v>34521</v>
      </c>
      <c r="I27" s="54">
        <f>9180*2</f>
        <v>18360</v>
      </c>
      <c r="J27" s="10">
        <v>1189</v>
      </c>
      <c r="K27" s="10">
        <v>8901</v>
      </c>
      <c r="L27" s="55">
        <v>6642</v>
      </c>
      <c r="M27" s="74">
        <f>I27+J27+K27+L27</f>
        <v>35092</v>
      </c>
      <c r="N27" s="54">
        <f>M27-H27</f>
        <v>571</v>
      </c>
      <c r="O27" s="58">
        <f>N27/H27</f>
        <v>0.01654065641203905</v>
      </c>
    </row>
    <row r="28" spans="1:15" ht="14.25">
      <c r="A28" s="88"/>
      <c r="B28" s="73"/>
      <c r="C28" s="73" t="s">
        <v>21</v>
      </c>
      <c r="D28" s="54">
        <v>19100</v>
      </c>
      <c r="E28" s="10">
        <v>1174</v>
      </c>
      <c r="F28" s="10">
        <v>8712</v>
      </c>
      <c r="G28" s="55">
        <v>6815</v>
      </c>
      <c r="H28" s="56">
        <v>35801</v>
      </c>
      <c r="I28" s="54">
        <f>9840*2</f>
        <v>19680</v>
      </c>
      <c r="J28" s="10">
        <v>1189</v>
      </c>
      <c r="K28" s="10">
        <v>8901</v>
      </c>
      <c r="L28" s="55">
        <v>6642</v>
      </c>
      <c r="M28" s="74">
        <f>I28+J28+K28+L28</f>
        <v>36412</v>
      </c>
      <c r="N28" s="54">
        <f>M28-H28</f>
        <v>611</v>
      </c>
      <c r="O28" s="58">
        <f>N28/H28</f>
        <v>0.017066562386525517</v>
      </c>
    </row>
    <row r="29" spans="1:15" ht="14.25">
      <c r="A29" s="88"/>
      <c r="B29" s="73"/>
      <c r="C29" s="73" t="s">
        <v>20</v>
      </c>
      <c r="D29" s="54">
        <v>19100</v>
      </c>
      <c r="E29" s="10">
        <v>1174</v>
      </c>
      <c r="F29" s="10">
        <v>8712</v>
      </c>
      <c r="G29" s="55">
        <v>6815</v>
      </c>
      <c r="H29" s="56">
        <v>35801</v>
      </c>
      <c r="I29" s="54">
        <v>19680</v>
      </c>
      <c r="J29" s="10">
        <v>1189</v>
      </c>
      <c r="K29" s="10">
        <v>8901</v>
      </c>
      <c r="L29" s="55">
        <v>6642</v>
      </c>
      <c r="M29" s="74">
        <f>I29+J29+K29+L29</f>
        <v>36412</v>
      </c>
      <c r="N29" s="54">
        <f>M29-H29</f>
        <v>611</v>
      </c>
      <c r="O29" s="58">
        <f>N29/H29</f>
        <v>0.017066562386525517</v>
      </c>
    </row>
    <row r="30" spans="1:15" ht="14.25">
      <c r="A30" s="88"/>
      <c r="B30" s="73"/>
      <c r="C30" s="73" t="s">
        <v>23</v>
      </c>
      <c r="D30" s="54">
        <v>19100</v>
      </c>
      <c r="E30" s="10">
        <v>1174</v>
      </c>
      <c r="F30" s="10">
        <v>8712</v>
      </c>
      <c r="G30" s="55">
        <v>6815</v>
      </c>
      <c r="H30" s="56">
        <v>35801</v>
      </c>
      <c r="I30" s="54">
        <v>19680</v>
      </c>
      <c r="J30" s="10">
        <v>1189</v>
      </c>
      <c r="K30" s="10">
        <v>8901</v>
      </c>
      <c r="L30" s="55">
        <v>6642</v>
      </c>
      <c r="M30" s="74">
        <f>I30+J30+K30+L30</f>
        <v>36412</v>
      </c>
      <c r="N30" s="54">
        <f>M30-H30</f>
        <v>611</v>
      </c>
      <c r="O30" s="58">
        <f>N30/H30</f>
        <v>0.017066562386525517</v>
      </c>
    </row>
    <row r="31" spans="1:15" ht="15">
      <c r="A31" s="92" t="s">
        <v>47</v>
      </c>
      <c r="B31" s="93"/>
      <c r="C31" s="93"/>
      <c r="D31" s="94"/>
      <c r="E31" s="94"/>
      <c r="F31" s="94"/>
      <c r="G31" s="94"/>
      <c r="H31" s="98"/>
      <c r="I31" s="94"/>
      <c r="J31" s="94"/>
      <c r="K31" s="94"/>
      <c r="L31" s="94"/>
      <c r="M31" s="98"/>
      <c r="N31" s="94"/>
      <c r="O31" s="95"/>
    </row>
    <row r="32" spans="1:15" ht="14.25">
      <c r="A32" s="88"/>
      <c r="B32" s="73" t="s">
        <v>1</v>
      </c>
      <c r="C32" s="73"/>
      <c r="D32" s="78"/>
      <c r="E32" s="55"/>
      <c r="F32" s="55"/>
      <c r="G32" s="55"/>
      <c r="H32" s="77"/>
      <c r="I32" s="78"/>
      <c r="J32" s="55"/>
      <c r="K32" s="55"/>
      <c r="L32" s="55"/>
      <c r="M32" s="77"/>
      <c r="N32" s="78"/>
      <c r="O32" s="79"/>
    </row>
    <row r="33" spans="1:16" ht="14.25">
      <c r="A33" s="88"/>
      <c r="B33" s="73"/>
      <c r="C33" s="73" t="s">
        <v>15</v>
      </c>
      <c r="D33" s="54">
        <v>21138</v>
      </c>
      <c r="E33" s="10">
        <v>926.2</v>
      </c>
      <c r="F33" s="10">
        <v>9890</v>
      </c>
      <c r="G33" s="55">
        <v>6815</v>
      </c>
      <c r="H33" s="56">
        <v>38769.2</v>
      </c>
      <c r="I33" s="54">
        <f>11562*2</f>
        <v>23124</v>
      </c>
      <c r="J33" s="10">
        <v>960</v>
      </c>
      <c r="K33" s="57">
        <v>10210</v>
      </c>
      <c r="L33" s="55">
        <v>6642</v>
      </c>
      <c r="M33" s="56">
        <f>SUM(I33,J33:L33)</f>
        <v>40936</v>
      </c>
      <c r="N33" s="54">
        <f>M33-H33</f>
        <v>2166.800000000003</v>
      </c>
      <c r="O33" s="58">
        <f>N33/H33</f>
        <v>0.055889726896608725</v>
      </c>
      <c r="P33" s="20"/>
    </row>
    <row r="34" spans="1:16" ht="14.25">
      <c r="A34" s="88"/>
      <c r="B34" s="73"/>
      <c r="C34" s="73" t="s">
        <v>34</v>
      </c>
      <c r="D34" s="59">
        <v>21138</v>
      </c>
      <c r="E34" s="60">
        <v>926.2</v>
      </c>
      <c r="F34" s="60">
        <v>9890</v>
      </c>
      <c r="G34" s="61">
        <v>6815</v>
      </c>
      <c r="H34" s="62">
        <v>38769.2</v>
      </c>
      <c r="I34" s="59">
        <f>11562*2</f>
        <v>23124</v>
      </c>
      <c r="J34" s="60">
        <v>960</v>
      </c>
      <c r="K34" s="63">
        <v>10210</v>
      </c>
      <c r="L34" s="61">
        <v>6642</v>
      </c>
      <c r="M34" s="62">
        <f>SUM(I34,J34:L34)</f>
        <v>40936</v>
      </c>
      <c r="N34" s="59">
        <f>M34-H34</f>
        <v>2166.800000000003</v>
      </c>
      <c r="O34" s="64">
        <f>N34/H34</f>
        <v>0.055889726896608725</v>
      </c>
      <c r="P34" s="20"/>
    </row>
    <row r="35" spans="1:16" ht="14.25">
      <c r="A35" s="90"/>
      <c r="B35" s="76" t="s">
        <v>4</v>
      </c>
      <c r="C35" s="76"/>
      <c r="D35" s="54"/>
      <c r="E35" s="10"/>
      <c r="F35" s="55"/>
      <c r="G35" s="55"/>
      <c r="H35" s="56"/>
      <c r="I35" s="54"/>
      <c r="J35" s="10"/>
      <c r="K35" s="65"/>
      <c r="L35" s="55"/>
      <c r="M35" s="56"/>
      <c r="N35" s="54"/>
      <c r="O35" s="58"/>
      <c r="P35" s="20"/>
    </row>
    <row r="36" spans="1:16" ht="14.25">
      <c r="A36" s="88"/>
      <c r="B36" s="73"/>
      <c r="C36" s="73" t="s">
        <v>9</v>
      </c>
      <c r="D36" s="54">
        <v>20982</v>
      </c>
      <c r="E36" s="10">
        <v>926.2</v>
      </c>
      <c r="F36" s="10">
        <v>8712</v>
      </c>
      <c r="G36" s="55">
        <v>6815</v>
      </c>
      <c r="H36" s="56">
        <v>37435.2</v>
      </c>
      <c r="I36" s="54">
        <f>11019*2</f>
        <v>22038</v>
      </c>
      <c r="J36" s="10">
        <v>960</v>
      </c>
      <c r="K36" s="10">
        <v>8901</v>
      </c>
      <c r="L36" s="55">
        <v>6642</v>
      </c>
      <c r="M36" s="56">
        <f aca="true" t="shared" si="3" ref="M36:M42">SUM(I36,J36:L36)</f>
        <v>38541</v>
      </c>
      <c r="N36" s="54">
        <f aca="true" t="shared" si="4" ref="N36:N42">M36-H36</f>
        <v>1105.800000000003</v>
      </c>
      <c r="O36" s="58">
        <f aca="true" t="shared" si="5" ref="O36:O42">N36/H36</f>
        <v>0.029539043467111246</v>
      </c>
      <c r="P36" s="20"/>
    </row>
    <row r="37" spans="1:16" ht="14.25">
      <c r="A37" s="88"/>
      <c r="B37" s="73"/>
      <c r="C37" s="18" t="s">
        <v>10</v>
      </c>
      <c r="D37" s="54">
        <v>22404</v>
      </c>
      <c r="E37" s="10">
        <v>926.2</v>
      </c>
      <c r="F37" s="10">
        <v>8712</v>
      </c>
      <c r="G37" s="55">
        <v>6815</v>
      </c>
      <c r="H37" s="56">
        <v>38857.2</v>
      </c>
      <c r="I37" s="54">
        <f>11766*2</f>
        <v>23532</v>
      </c>
      <c r="J37" s="10">
        <v>960</v>
      </c>
      <c r="K37" s="10">
        <v>8901</v>
      </c>
      <c r="L37" s="55">
        <v>6642</v>
      </c>
      <c r="M37" s="56">
        <f t="shared" si="3"/>
        <v>40035</v>
      </c>
      <c r="N37" s="54">
        <f t="shared" si="4"/>
        <v>1177.800000000003</v>
      </c>
      <c r="O37" s="58">
        <f t="shared" si="5"/>
        <v>0.030310984836787083</v>
      </c>
      <c r="P37" s="20"/>
    </row>
    <row r="38" spans="1:16" ht="14.25">
      <c r="A38" s="88"/>
      <c r="B38" s="73"/>
      <c r="C38" s="18" t="s">
        <v>3</v>
      </c>
      <c r="D38" s="54">
        <v>22404</v>
      </c>
      <c r="E38" s="10">
        <v>926.2</v>
      </c>
      <c r="F38" s="10">
        <v>8712</v>
      </c>
      <c r="G38" s="55">
        <v>6815</v>
      </c>
      <c r="H38" s="56">
        <v>38857.2</v>
      </c>
      <c r="I38" s="54">
        <f>11766*2</f>
        <v>23532</v>
      </c>
      <c r="J38" s="10">
        <v>960</v>
      </c>
      <c r="K38" s="10">
        <v>8901</v>
      </c>
      <c r="L38" s="55">
        <v>6642</v>
      </c>
      <c r="M38" s="56">
        <f t="shared" si="3"/>
        <v>40035</v>
      </c>
      <c r="N38" s="54">
        <f t="shared" si="4"/>
        <v>1177.800000000003</v>
      </c>
      <c r="O38" s="58">
        <f t="shared" si="5"/>
        <v>0.030310984836787083</v>
      </c>
      <c r="P38" s="20"/>
    </row>
    <row r="39" spans="1:16" ht="14.25">
      <c r="A39" s="88"/>
      <c r="B39" s="73"/>
      <c r="C39" s="73" t="s">
        <v>35</v>
      </c>
      <c r="D39" s="54">
        <v>22404</v>
      </c>
      <c r="E39" s="10">
        <v>926.2</v>
      </c>
      <c r="F39" s="10">
        <v>8712</v>
      </c>
      <c r="G39" s="55">
        <v>6815</v>
      </c>
      <c r="H39" s="56">
        <v>38857.2</v>
      </c>
      <c r="I39" s="54">
        <f>11766*2</f>
        <v>23532</v>
      </c>
      <c r="J39" s="10">
        <v>960</v>
      </c>
      <c r="K39" s="10">
        <v>8901</v>
      </c>
      <c r="L39" s="55">
        <v>6642</v>
      </c>
      <c r="M39" s="56">
        <f t="shared" si="3"/>
        <v>40035</v>
      </c>
      <c r="N39" s="54">
        <f t="shared" si="4"/>
        <v>1177.800000000003</v>
      </c>
      <c r="O39" s="58">
        <f t="shared" si="5"/>
        <v>0.030310984836787083</v>
      </c>
      <c r="P39" s="20"/>
    </row>
    <row r="40" spans="1:16" ht="14.25">
      <c r="A40" s="88"/>
      <c r="B40" s="73"/>
      <c r="C40" s="73" t="s">
        <v>11</v>
      </c>
      <c r="D40" s="54">
        <v>22404</v>
      </c>
      <c r="E40" s="10">
        <v>926.2</v>
      </c>
      <c r="F40" s="10">
        <v>8712</v>
      </c>
      <c r="G40" s="55">
        <v>6815</v>
      </c>
      <c r="H40" s="56">
        <v>38857.2</v>
      </c>
      <c r="I40" s="54">
        <f>11766*2</f>
        <v>23532</v>
      </c>
      <c r="J40" s="10">
        <v>960</v>
      </c>
      <c r="K40" s="10">
        <v>8901</v>
      </c>
      <c r="L40" s="55">
        <v>6642</v>
      </c>
      <c r="M40" s="56">
        <f t="shared" si="3"/>
        <v>40035</v>
      </c>
      <c r="N40" s="54">
        <f t="shared" si="4"/>
        <v>1177.800000000003</v>
      </c>
      <c r="O40" s="58">
        <f t="shared" si="5"/>
        <v>0.030310984836787083</v>
      </c>
      <c r="P40" s="20"/>
    </row>
    <row r="41" spans="1:16" ht="14.25">
      <c r="A41" s="88"/>
      <c r="B41" s="73"/>
      <c r="C41" s="73" t="s">
        <v>8</v>
      </c>
      <c r="D41" s="54">
        <v>22404</v>
      </c>
      <c r="E41" s="10">
        <v>926.2</v>
      </c>
      <c r="F41" s="10">
        <v>8712</v>
      </c>
      <c r="G41" s="55">
        <v>6815</v>
      </c>
      <c r="H41" s="56">
        <v>38857.2</v>
      </c>
      <c r="I41" s="54">
        <f>11766*2</f>
        <v>23532</v>
      </c>
      <c r="J41" s="10">
        <v>960</v>
      </c>
      <c r="K41" s="10">
        <v>8901</v>
      </c>
      <c r="L41" s="55">
        <v>6642</v>
      </c>
      <c r="M41" s="56">
        <f t="shared" si="3"/>
        <v>40035</v>
      </c>
      <c r="N41" s="54">
        <f t="shared" si="4"/>
        <v>1177.800000000003</v>
      </c>
      <c r="O41" s="58">
        <f t="shared" si="5"/>
        <v>0.030310984836787083</v>
      </c>
      <c r="P41" s="20"/>
    </row>
    <row r="42" spans="1:16" ht="14.25">
      <c r="A42" s="88"/>
      <c r="B42" s="73"/>
      <c r="C42" s="73" t="s">
        <v>31</v>
      </c>
      <c r="D42" s="54">
        <v>22794</v>
      </c>
      <c r="E42" s="10">
        <v>926.2</v>
      </c>
      <c r="F42" s="10">
        <v>8712</v>
      </c>
      <c r="G42" s="55">
        <v>6815</v>
      </c>
      <c r="H42" s="56">
        <v>39247.2</v>
      </c>
      <c r="I42" s="54">
        <f>11964*2</f>
        <v>23928</v>
      </c>
      <c r="J42" s="10">
        <v>960</v>
      </c>
      <c r="K42" s="10">
        <v>8901</v>
      </c>
      <c r="L42" s="55">
        <v>6642</v>
      </c>
      <c r="M42" s="56">
        <f t="shared" si="3"/>
        <v>40431</v>
      </c>
      <c r="N42" s="54">
        <f t="shared" si="4"/>
        <v>1183.800000000003</v>
      </c>
      <c r="O42" s="58">
        <f t="shared" si="5"/>
        <v>0.030162661285391135</v>
      </c>
      <c r="P42" s="20"/>
    </row>
    <row r="43" spans="1:16" ht="15" customHeight="1">
      <c r="A43" s="92" t="s">
        <v>70</v>
      </c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20"/>
    </row>
    <row r="44" spans="1:20" s="14" customFormat="1" ht="12.75">
      <c r="A44" s="21"/>
      <c r="B44" s="18" t="s">
        <v>1</v>
      </c>
      <c r="C44" s="18"/>
      <c r="D44" s="54"/>
      <c r="E44" s="10"/>
      <c r="F44" s="10"/>
      <c r="G44" s="10"/>
      <c r="H44" s="12"/>
      <c r="I44" s="54"/>
      <c r="J44" s="18"/>
      <c r="K44" s="18"/>
      <c r="L44" s="10"/>
      <c r="M44" s="74"/>
      <c r="N44" s="54"/>
      <c r="O44" s="91"/>
      <c r="P44" s="22"/>
      <c r="Q44" s="13"/>
      <c r="R44" s="13"/>
      <c r="S44" s="13"/>
      <c r="T44" s="13"/>
    </row>
    <row r="45" spans="1:20" s="14" customFormat="1" ht="12.75">
      <c r="A45" s="21"/>
      <c r="B45" s="18"/>
      <c r="C45" s="18" t="s">
        <v>14</v>
      </c>
      <c r="D45" s="54">
        <v>24570</v>
      </c>
      <c r="E45" s="10">
        <v>266.7</v>
      </c>
      <c r="F45" s="10">
        <v>8712</v>
      </c>
      <c r="G45" s="10">
        <v>6815</v>
      </c>
      <c r="H45" s="12">
        <v>40363.7</v>
      </c>
      <c r="I45" s="54">
        <f>12285*2</f>
        <v>24570</v>
      </c>
      <c r="J45" s="10">
        <v>266.7</v>
      </c>
      <c r="K45" s="10">
        <v>8901</v>
      </c>
      <c r="L45" s="55">
        <v>6642</v>
      </c>
      <c r="M45" s="56">
        <f>SUM(I45,J45:L45)</f>
        <v>40379.7</v>
      </c>
      <c r="N45" s="54">
        <f>M45-H45</f>
        <v>16</v>
      </c>
      <c r="O45" s="49">
        <f>N45/H45</f>
        <v>0.0003963957714481081</v>
      </c>
      <c r="P45" s="22"/>
      <c r="Q45" s="13"/>
      <c r="R45" s="13"/>
      <c r="S45" s="13"/>
      <c r="T45" s="13"/>
    </row>
    <row r="46" spans="1:20" s="14" customFormat="1" ht="12.75">
      <c r="A46" s="21"/>
      <c r="B46" s="18"/>
      <c r="C46" s="41" t="s">
        <v>57</v>
      </c>
      <c r="D46" s="59">
        <v>24570</v>
      </c>
      <c r="E46" s="60">
        <v>266.7</v>
      </c>
      <c r="F46" s="60">
        <v>8712</v>
      </c>
      <c r="G46" s="60">
        <v>6815</v>
      </c>
      <c r="H46" s="11">
        <v>40363.7</v>
      </c>
      <c r="I46" s="59">
        <f>7125*2</f>
        <v>14250</v>
      </c>
      <c r="J46" s="60">
        <v>266.7</v>
      </c>
      <c r="K46" s="60">
        <v>8901</v>
      </c>
      <c r="L46" s="61">
        <v>6642</v>
      </c>
      <c r="M46" s="62">
        <f>SUM(I46,J46:L46)</f>
        <v>30059.7</v>
      </c>
      <c r="N46" s="59">
        <f>M46-H46</f>
        <v>-10303.999999999996</v>
      </c>
      <c r="O46" s="50">
        <f>N46/H46</f>
        <v>-0.25527887681258155</v>
      </c>
      <c r="P46" s="22"/>
      <c r="Q46" s="13"/>
      <c r="R46" s="13"/>
      <c r="S46" s="13"/>
      <c r="T46" s="13"/>
    </row>
    <row r="47" spans="1:20" s="14" customFormat="1" ht="12.75">
      <c r="A47" s="23"/>
      <c r="B47" s="24" t="s">
        <v>4</v>
      </c>
      <c r="C47" s="24"/>
      <c r="D47" s="54"/>
      <c r="E47" s="10"/>
      <c r="F47" s="10"/>
      <c r="G47" s="10"/>
      <c r="H47" s="12"/>
      <c r="I47" s="54"/>
      <c r="J47" s="10"/>
      <c r="K47" s="10"/>
      <c r="L47" s="10"/>
      <c r="M47" s="56"/>
      <c r="N47" s="54" t="s">
        <v>36</v>
      </c>
      <c r="O47" s="49" t="s">
        <v>36</v>
      </c>
      <c r="P47" s="22"/>
      <c r="Q47" s="13"/>
      <c r="R47" s="13"/>
      <c r="S47" s="13"/>
      <c r="T47" s="13"/>
    </row>
    <row r="48" spans="1:20" s="14" customFormat="1" ht="12.75">
      <c r="A48" s="21"/>
      <c r="B48" s="18"/>
      <c r="C48" s="73" t="s">
        <v>58</v>
      </c>
      <c r="D48" s="54">
        <v>22080</v>
      </c>
      <c r="E48" s="10">
        <v>266.7</v>
      </c>
      <c r="F48" s="10">
        <v>8712</v>
      </c>
      <c r="G48" s="10">
        <v>6815</v>
      </c>
      <c r="H48" s="12">
        <v>37873.7</v>
      </c>
      <c r="I48" s="54">
        <f>11595*2</f>
        <v>23190</v>
      </c>
      <c r="J48" s="10">
        <v>266.7</v>
      </c>
      <c r="K48" s="10">
        <v>8901</v>
      </c>
      <c r="L48" s="55">
        <v>6642</v>
      </c>
      <c r="M48" s="56">
        <f aca="true" t="shared" si="6" ref="M48:M58">SUM(I48,J48:L48)</f>
        <v>38999.7</v>
      </c>
      <c r="N48" s="54">
        <f aca="true" t="shared" si="7" ref="N48:N54">M48-H48</f>
        <v>1126</v>
      </c>
      <c r="O48" s="49">
        <f aca="true" t="shared" si="8" ref="O48:O54">N48/H48</f>
        <v>0.02973039338643967</v>
      </c>
      <c r="P48" s="22"/>
      <c r="Q48" s="13"/>
      <c r="R48" s="13"/>
      <c r="S48" s="13"/>
      <c r="T48" s="13"/>
    </row>
    <row r="49" spans="1:20" s="14" customFormat="1" ht="12.75">
      <c r="A49" s="21"/>
      <c r="B49" s="18"/>
      <c r="C49" s="18" t="s">
        <v>32</v>
      </c>
      <c r="D49" s="54">
        <v>18210</v>
      </c>
      <c r="E49" s="10">
        <v>266.7</v>
      </c>
      <c r="F49" s="10">
        <v>8712</v>
      </c>
      <c r="G49" s="10">
        <v>6815</v>
      </c>
      <c r="H49" s="12">
        <v>34003.7</v>
      </c>
      <c r="I49" s="54">
        <f>9555*2</f>
        <v>19110</v>
      </c>
      <c r="J49" s="10">
        <v>266.7</v>
      </c>
      <c r="K49" s="10">
        <v>8901</v>
      </c>
      <c r="L49" s="55">
        <v>6642</v>
      </c>
      <c r="M49" s="56">
        <f t="shared" si="6"/>
        <v>34919.7</v>
      </c>
      <c r="N49" s="54">
        <f t="shared" si="7"/>
        <v>916</v>
      </c>
      <c r="O49" s="49">
        <f t="shared" si="8"/>
        <v>0.026938244955696</v>
      </c>
      <c r="P49" s="22"/>
      <c r="Q49" s="13"/>
      <c r="R49" s="13"/>
      <c r="S49" s="13"/>
      <c r="T49" s="13"/>
    </row>
    <row r="50" spans="1:20" s="14" customFormat="1" ht="12.75">
      <c r="A50" s="21"/>
      <c r="B50" s="18"/>
      <c r="C50" s="73" t="s">
        <v>49</v>
      </c>
      <c r="D50" s="54">
        <v>32610</v>
      </c>
      <c r="E50" s="10">
        <v>266.7</v>
      </c>
      <c r="F50" s="10">
        <v>8712</v>
      </c>
      <c r="G50" s="10">
        <v>6815</v>
      </c>
      <c r="H50" s="12">
        <v>48403.7</v>
      </c>
      <c r="I50" s="54">
        <f>17280*2</f>
        <v>34560</v>
      </c>
      <c r="J50" s="10">
        <v>266.7</v>
      </c>
      <c r="K50" s="10">
        <v>8901</v>
      </c>
      <c r="L50" s="55">
        <v>6642</v>
      </c>
      <c r="M50" s="56">
        <f t="shared" si="6"/>
        <v>50369.7</v>
      </c>
      <c r="N50" s="54">
        <f t="shared" si="7"/>
        <v>1966</v>
      </c>
      <c r="O50" s="49">
        <f t="shared" si="8"/>
        <v>0.04061672971281121</v>
      </c>
      <c r="P50" s="22"/>
      <c r="Q50" s="13"/>
      <c r="R50" s="13"/>
      <c r="S50" s="13"/>
      <c r="T50" s="13"/>
    </row>
    <row r="51" spans="1:20" s="14" customFormat="1" ht="12.75">
      <c r="A51" s="21"/>
      <c r="B51" s="18"/>
      <c r="C51" s="73" t="s">
        <v>50</v>
      </c>
      <c r="D51" s="54">
        <v>30360</v>
      </c>
      <c r="E51" s="10">
        <v>266.7</v>
      </c>
      <c r="F51" s="10">
        <v>8712</v>
      </c>
      <c r="G51" s="10">
        <v>6815</v>
      </c>
      <c r="H51" s="12">
        <v>46153.7</v>
      </c>
      <c r="I51" s="54">
        <f>15180*2</f>
        <v>30360</v>
      </c>
      <c r="J51" s="10">
        <v>266.7</v>
      </c>
      <c r="K51" s="10">
        <v>8901</v>
      </c>
      <c r="L51" s="55">
        <v>6642</v>
      </c>
      <c r="M51" s="56">
        <f t="shared" si="6"/>
        <v>46169.7</v>
      </c>
      <c r="N51" s="54">
        <f t="shared" si="7"/>
        <v>16</v>
      </c>
      <c r="O51" s="49">
        <f t="shared" si="8"/>
        <v>0.00034666776444792076</v>
      </c>
      <c r="P51" s="22"/>
      <c r="Q51" s="13"/>
      <c r="R51" s="13"/>
      <c r="S51" s="13"/>
      <c r="T51" s="13"/>
    </row>
    <row r="52" spans="1:20" s="14" customFormat="1" ht="12.75">
      <c r="A52" s="21"/>
      <c r="B52" s="18"/>
      <c r="C52" s="18" t="s">
        <v>59</v>
      </c>
      <c r="D52" s="54">
        <v>30360</v>
      </c>
      <c r="E52" s="10">
        <v>266.7</v>
      </c>
      <c r="F52" s="10">
        <v>8712</v>
      </c>
      <c r="G52" s="10">
        <v>6815</v>
      </c>
      <c r="H52" s="12">
        <v>46153.7</v>
      </c>
      <c r="I52" s="54">
        <f>15180*2</f>
        <v>30360</v>
      </c>
      <c r="J52" s="10">
        <v>266.7</v>
      </c>
      <c r="K52" s="10">
        <v>8901</v>
      </c>
      <c r="L52" s="55">
        <v>6642</v>
      </c>
      <c r="M52" s="56">
        <f t="shared" si="6"/>
        <v>46169.7</v>
      </c>
      <c r="N52" s="54">
        <f t="shared" si="7"/>
        <v>16</v>
      </c>
      <c r="O52" s="49">
        <f t="shared" si="8"/>
        <v>0.00034666776444792076</v>
      </c>
      <c r="P52" s="22"/>
      <c r="Q52" s="13"/>
      <c r="R52" s="13"/>
      <c r="S52" s="13"/>
      <c r="T52" s="13"/>
    </row>
    <row r="53" spans="1:20" s="14" customFormat="1" ht="12.75">
      <c r="A53" s="21"/>
      <c r="B53" s="18"/>
      <c r="C53" s="18" t="s">
        <v>60</v>
      </c>
      <c r="D53" s="54">
        <v>30360</v>
      </c>
      <c r="E53" s="10">
        <v>266.7</v>
      </c>
      <c r="F53" s="10">
        <v>8712</v>
      </c>
      <c r="G53" s="10">
        <v>6815</v>
      </c>
      <c r="H53" s="12">
        <v>46153.7</v>
      </c>
      <c r="I53" s="54">
        <f>17280*2</f>
        <v>34560</v>
      </c>
      <c r="J53" s="10">
        <v>266.7</v>
      </c>
      <c r="K53" s="10">
        <v>8901</v>
      </c>
      <c r="L53" s="55">
        <v>6642</v>
      </c>
      <c r="M53" s="56">
        <f t="shared" si="6"/>
        <v>50369.7</v>
      </c>
      <c r="N53" s="54">
        <f t="shared" si="7"/>
        <v>4216</v>
      </c>
      <c r="O53" s="49">
        <f t="shared" si="8"/>
        <v>0.09134695593202713</v>
      </c>
      <c r="P53" s="22"/>
      <c r="Q53" s="13"/>
      <c r="R53" s="13"/>
      <c r="S53" s="13"/>
      <c r="T53" s="13"/>
    </row>
    <row r="54" spans="1:20" s="14" customFormat="1" ht="12.75">
      <c r="A54" s="21"/>
      <c r="B54" s="18"/>
      <c r="C54" s="73" t="s">
        <v>28</v>
      </c>
      <c r="D54" s="54">
        <v>29610</v>
      </c>
      <c r="E54" s="10">
        <v>266.7</v>
      </c>
      <c r="F54" s="10">
        <v>8712</v>
      </c>
      <c r="G54" s="10">
        <v>6815</v>
      </c>
      <c r="H54" s="12">
        <v>45403.7</v>
      </c>
      <c r="I54" s="54">
        <f>15540*2</f>
        <v>31080</v>
      </c>
      <c r="J54" s="10">
        <v>266.7</v>
      </c>
      <c r="K54" s="10">
        <v>8901</v>
      </c>
      <c r="L54" s="55">
        <v>6642</v>
      </c>
      <c r="M54" s="56">
        <f t="shared" si="6"/>
        <v>46889.7</v>
      </c>
      <c r="N54" s="54">
        <f t="shared" si="7"/>
        <v>1486</v>
      </c>
      <c r="O54" s="49">
        <f t="shared" si="8"/>
        <v>0.03272861022339589</v>
      </c>
      <c r="P54" s="22"/>
      <c r="Q54" s="13"/>
      <c r="R54" s="13"/>
      <c r="S54" s="13"/>
      <c r="T54" s="13"/>
    </row>
    <row r="55" spans="1:20" s="14" customFormat="1" ht="12.75">
      <c r="A55" s="21"/>
      <c r="B55" s="18"/>
      <c r="C55" s="73" t="s">
        <v>64</v>
      </c>
      <c r="D55" s="54"/>
      <c r="E55" s="10"/>
      <c r="F55" s="10"/>
      <c r="G55" s="10"/>
      <c r="H55" s="12"/>
      <c r="I55" s="54">
        <f>15375*2</f>
        <v>30750</v>
      </c>
      <c r="J55" s="10">
        <v>266.7</v>
      </c>
      <c r="K55" s="10">
        <v>8901</v>
      </c>
      <c r="L55" s="55">
        <v>6642</v>
      </c>
      <c r="M55" s="56">
        <f t="shared" si="6"/>
        <v>46559.7</v>
      </c>
      <c r="N55" s="37" t="s">
        <v>55</v>
      </c>
      <c r="O55" s="38" t="s">
        <v>55</v>
      </c>
      <c r="P55" s="22"/>
      <c r="Q55" s="13"/>
      <c r="R55" s="13"/>
      <c r="S55" s="13"/>
      <c r="T55" s="13"/>
    </row>
    <row r="56" spans="1:20" s="14" customFormat="1" ht="12.75">
      <c r="A56" s="21"/>
      <c r="B56" s="18"/>
      <c r="C56" s="18" t="s">
        <v>51</v>
      </c>
      <c r="D56" s="54">
        <v>29700</v>
      </c>
      <c r="E56" s="10">
        <v>266.7</v>
      </c>
      <c r="F56" s="10">
        <v>8712</v>
      </c>
      <c r="G56" s="10">
        <v>6815</v>
      </c>
      <c r="H56" s="12">
        <v>45493.7</v>
      </c>
      <c r="I56" s="54">
        <f>14850*2</f>
        <v>29700</v>
      </c>
      <c r="J56" s="10">
        <v>266.7</v>
      </c>
      <c r="K56" s="10">
        <v>8901</v>
      </c>
      <c r="L56" s="55">
        <v>6642</v>
      </c>
      <c r="M56" s="56">
        <f t="shared" si="6"/>
        <v>45509.7</v>
      </c>
      <c r="N56" s="54">
        <f>M56-H56</f>
        <v>16</v>
      </c>
      <c r="O56" s="49">
        <f>N56/H56</f>
        <v>0.0003516970481627127</v>
      </c>
      <c r="P56" s="22"/>
      <c r="Q56" s="13"/>
      <c r="R56" s="13"/>
      <c r="S56" s="13"/>
      <c r="T56" s="13"/>
    </row>
    <row r="57" spans="1:20" s="14" customFormat="1" ht="12.75">
      <c r="A57" s="21"/>
      <c r="B57" s="18"/>
      <c r="C57" s="18" t="s">
        <v>52</v>
      </c>
      <c r="D57" s="54">
        <v>29700</v>
      </c>
      <c r="E57" s="10">
        <v>266.7</v>
      </c>
      <c r="F57" s="10">
        <v>8712</v>
      </c>
      <c r="G57" s="10">
        <v>6815</v>
      </c>
      <c r="H57" s="12">
        <v>45493.7</v>
      </c>
      <c r="I57" s="54">
        <f>14850*2</f>
        <v>29700</v>
      </c>
      <c r="J57" s="10">
        <v>266.7</v>
      </c>
      <c r="K57" s="10">
        <v>8901</v>
      </c>
      <c r="L57" s="55">
        <v>6642</v>
      </c>
      <c r="M57" s="56">
        <f t="shared" si="6"/>
        <v>45509.7</v>
      </c>
      <c r="N57" s="54">
        <f>M57-H57</f>
        <v>16</v>
      </c>
      <c r="O57" s="49">
        <f>N57/H57</f>
        <v>0.0003516970481627127</v>
      </c>
      <c r="P57" s="22"/>
      <c r="Q57" s="13"/>
      <c r="R57" s="13"/>
      <c r="S57" s="13"/>
      <c r="T57" s="13"/>
    </row>
    <row r="58" spans="1:20" s="14" customFormat="1" ht="14.25">
      <c r="A58" s="21"/>
      <c r="B58" s="18"/>
      <c r="C58" s="18" t="s">
        <v>72</v>
      </c>
      <c r="D58" s="54">
        <v>10926</v>
      </c>
      <c r="E58" s="10">
        <v>266.7</v>
      </c>
      <c r="F58" s="10">
        <v>8712</v>
      </c>
      <c r="G58" s="10">
        <v>6815</v>
      </c>
      <c r="H58" s="11">
        <v>26719.7</v>
      </c>
      <c r="I58" s="59">
        <f>5517*2</f>
        <v>11034</v>
      </c>
      <c r="J58" s="60">
        <v>266.7</v>
      </c>
      <c r="K58" s="60">
        <v>8901</v>
      </c>
      <c r="L58" s="61">
        <v>6642</v>
      </c>
      <c r="M58" s="62">
        <f t="shared" si="6"/>
        <v>26843.7</v>
      </c>
      <c r="N58" s="59">
        <f>M58-H58</f>
        <v>124</v>
      </c>
      <c r="O58" s="50">
        <f>N58/H58</f>
        <v>0.004640770667335337</v>
      </c>
      <c r="P58" s="22"/>
      <c r="Q58" s="13"/>
      <c r="R58" s="13"/>
      <c r="S58" s="13"/>
      <c r="T58" s="13"/>
    </row>
    <row r="59" spans="1:20" s="14" customFormat="1" ht="12.75">
      <c r="A59" s="23"/>
      <c r="B59" s="24" t="s">
        <v>12</v>
      </c>
      <c r="C59" s="24"/>
      <c r="D59" s="71"/>
      <c r="E59" s="70"/>
      <c r="F59" s="70"/>
      <c r="G59" s="70"/>
      <c r="H59" s="12"/>
      <c r="I59" s="54"/>
      <c r="J59" s="10"/>
      <c r="K59" s="10"/>
      <c r="L59" s="10"/>
      <c r="M59" s="56"/>
      <c r="N59" s="54" t="s">
        <v>36</v>
      </c>
      <c r="O59" s="49" t="s">
        <v>36</v>
      </c>
      <c r="P59" s="22"/>
      <c r="Q59" s="13"/>
      <c r="R59" s="13"/>
      <c r="S59" s="13"/>
      <c r="T59" s="13"/>
    </row>
    <row r="60" spans="1:20" s="14" customFormat="1" ht="12.75">
      <c r="A60" s="21"/>
      <c r="B60" s="18"/>
      <c r="C60" s="18" t="s">
        <v>53</v>
      </c>
      <c r="D60" s="54">
        <v>29984</v>
      </c>
      <c r="E60" s="10">
        <v>26221.7</v>
      </c>
      <c r="F60" s="10">
        <v>8712</v>
      </c>
      <c r="G60" s="10">
        <v>6815</v>
      </c>
      <c r="H60" s="12">
        <v>71732.7</v>
      </c>
      <c r="I60" s="54">
        <v>32683</v>
      </c>
      <c r="J60" s="10">
        <f>266.7+25955</f>
        <v>26221.7</v>
      </c>
      <c r="K60" s="10">
        <v>8901</v>
      </c>
      <c r="L60" s="55">
        <v>6642</v>
      </c>
      <c r="M60" s="56">
        <f>SUM(I60,J60:L60)</f>
        <v>74447.7</v>
      </c>
      <c r="N60" s="54">
        <f>M60-H60</f>
        <v>2715</v>
      </c>
      <c r="O60" s="49">
        <f>N60/H60</f>
        <v>0.037848847178483455</v>
      </c>
      <c r="P60" s="22"/>
      <c r="Q60" s="13"/>
      <c r="R60" s="13"/>
      <c r="S60" s="13"/>
      <c r="T60" s="13"/>
    </row>
    <row r="61" spans="1:20" s="14" customFormat="1" ht="12.75">
      <c r="A61" s="21"/>
      <c r="B61" s="18"/>
      <c r="C61" s="18" t="s">
        <v>54</v>
      </c>
      <c r="D61" s="54">
        <v>26484</v>
      </c>
      <c r="E61" s="10">
        <v>25569.7</v>
      </c>
      <c r="F61" s="10">
        <v>8712</v>
      </c>
      <c r="G61" s="10">
        <v>6815</v>
      </c>
      <c r="H61" s="12">
        <v>67580.7</v>
      </c>
      <c r="I61" s="54">
        <v>28867.56</v>
      </c>
      <c r="J61" s="10">
        <f>266.7+25303</f>
        <v>25569.7</v>
      </c>
      <c r="K61" s="10">
        <v>8901</v>
      </c>
      <c r="L61" s="55">
        <v>6642</v>
      </c>
      <c r="M61" s="56">
        <f>SUM(I61,J61:L61)</f>
        <v>69980.26000000001</v>
      </c>
      <c r="N61" s="54">
        <f>M61-H61</f>
        <v>2399.560000000012</v>
      </c>
      <c r="O61" s="49">
        <f>N61/H61</f>
        <v>0.03550658693976257</v>
      </c>
      <c r="P61" s="22"/>
      <c r="Q61" s="13"/>
      <c r="R61" s="13"/>
      <c r="S61" s="13"/>
      <c r="T61" s="13"/>
    </row>
    <row r="62" spans="1:20" s="14" customFormat="1" ht="12.75">
      <c r="A62" s="21"/>
      <c r="B62" s="18"/>
      <c r="C62" s="51" t="s">
        <v>45</v>
      </c>
      <c r="D62" s="54">
        <v>26220</v>
      </c>
      <c r="E62" s="10">
        <v>266.7</v>
      </c>
      <c r="F62" s="10">
        <v>8712</v>
      </c>
      <c r="G62" s="10">
        <v>6815</v>
      </c>
      <c r="H62" s="12">
        <v>42013.7</v>
      </c>
      <c r="I62" s="54">
        <f>13770*2</f>
        <v>27540</v>
      </c>
      <c r="J62" s="57">
        <v>266.7</v>
      </c>
      <c r="K62" s="10">
        <v>8901</v>
      </c>
      <c r="L62" s="55">
        <v>6642</v>
      </c>
      <c r="M62" s="56">
        <f>SUM(I62,J62:L62)</f>
        <v>43349.7</v>
      </c>
      <c r="N62" s="54">
        <f>M62-H62</f>
        <v>1336</v>
      </c>
      <c r="O62" s="49">
        <f>N62/H62</f>
        <v>0.031799151229241894</v>
      </c>
      <c r="P62" s="22"/>
      <c r="Q62" s="13"/>
      <c r="R62" s="13"/>
      <c r="S62" s="13"/>
      <c r="T62" s="13"/>
    </row>
    <row r="63" spans="1:20" s="14" customFormat="1" ht="12.75">
      <c r="A63" s="21"/>
      <c r="B63" s="18"/>
      <c r="C63" s="51" t="s">
        <v>37</v>
      </c>
      <c r="D63" s="54">
        <v>29700</v>
      </c>
      <c r="E63" s="10">
        <v>266.7</v>
      </c>
      <c r="F63" s="10">
        <v>8712</v>
      </c>
      <c r="G63" s="10">
        <v>6815</v>
      </c>
      <c r="H63" s="12">
        <v>45493.7</v>
      </c>
      <c r="I63" s="54">
        <f>14850*2</f>
        <v>29700</v>
      </c>
      <c r="J63" s="57">
        <v>266.7</v>
      </c>
      <c r="K63" s="10">
        <v>8901</v>
      </c>
      <c r="L63" s="55">
        <v>6642</v>
      </c>
      <c r="M63" s="56">
        <f>SUM(I63,J63:L63)</f>
        <v>45509.7</v>
      </c>
      <c r="N63" s="54">
        <f>M63-H63</f>
        <v>16</v>
      </c>
      <c r="O63" s="49">
        <f>N63/H63</f>
        <v>0.0003516970481627127</v>
      </c>
      <c r="P63" s="22"/>
      <c r="Q63" s="13"/>
      <c r="R63" s="13"/>
      <c r="S63" s="13"/>
      <c r="T63" s="13"/>
    </row>
    <row r="64" spans="1:20" s="14" customFormat="1" ht="13.5" thickBot="1">
      <c r="A64" s="25"/>
      <c r="B64" s="26"/>
      <c r="C64" s="52" t="s">
        <v>46</v>
      </c>
      <c r="D64" s="66">
        <v>34962</v>
      </c>
      <c r="E64" s="67">
        <v>266.7</v>
      </c>
      <c r="F64" s="67">
        <v>8712</v>
      </c>
      <c r="G64" s="67">
        <v>6815</v>
      </c>
      <c r="H64" s="69">
        <f>SUM(D64,E64:G64)</f>
        <v>50755.7</v>
      </c>
      <c r="I64" s="66">
        <v>37758</v>
      </c>
      <c r="J64" s="67">
        <v>266.7</v>
      </c>
      <c r="K64" s="67">
        <v>8901</v>
      </c>
      <c r="L64" s="68">
        <v>6642</v>
      </c>
      <c r="M64" s="69">
        <f>SUM(I64,J64:L64)</f>
        <v>53567.7</v>
      </c>
      <c r="N64" s="66">
        <f>M64-H64</f>
        <v>2812</v>
      </c>
      <c r="O64" s="53">
        <f>N64/H64</f>
        <v>0.05540264443205394</v>
      </c>
      <c r="P64" s="22"/>
      <c r="Q64" s="13"/>
      <c r="R64" s="13"/>
      <c r="S64" s="13"/>
      <c r="T64" s="13"/>
    </row>
    <row r="65" spans="1:20" s="14" customFormat="1" ht="12.75">
      <c r="A65" s="18"/>
      <c r="B65" s="18"/>
      <c r="C65" s="51"/>
      <c r="D65" s="10"/>
      <c r="E65" s="10"/>
      <c r="F65" s="10"/>
      <c r="G65" s="10"/>
      <c r="H65" s="55"/>
      <c r="I65" s="10"/>
      <c r="J65" s="10"/>
      <c r="K65" s="10"/>
      <c r="L65" s="55"/>
      <c r="M65" s="55"/>
      <c r="N65" s="10"/>
      <c r="O65" s="100"/>
      <c r="P65" s="22"/>
      <c r="Q65" s="13"/>
      <c r="R65" s="13"/>
      <c r="S65" s="13"/>
      <c r="T65" s="13"/>
    </row>
    <row r="66" spans="1:22" s="7" customFormat="1" ht="18.75" customHeight="1">
      <c r="A66" s="8" t="s">
        <v>25</v>
      </c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/>
      <c r="R66" s="6"/>
      <c r="S66" s="6"/>
      <c r="T66" s="6"/>
      <c r="U66" s="6"/>
      <c r="V66" s="6"/>
    </row>
    <row r="67" spans="1:20" s="14" customFormat="1" ht="14.25" customHeight="1">
      <c r="A67" s="18"/>
      <c r="B67" s="18" t="s">
        <v>69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7"/>
      <c r="P67" s="13"/>
      <c r="Q67" s="13"/>
      <c r="R67" s="13"/>
      <c r="S67" s="13"/>
      <c r="T67" s="13"/>
    </row>
    <row r="68" spans="2:20" s="14" customFormat="1" ht="25.5" customHeight="1">
      <c r="B68" s="103" t="s">
        <v>66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Q68" s="13"/>
      <c r="R68" s="13"/>
      <c r="S68" s="13"/>
      <c r="T68" s="13"/>
    </row>
    <row r="69" spans="2:20" s="14" customFormat="1" ht="12.75">
      <c r="B69" s="14" t="s">
        <v>63</v>
      </c>
      <c r="H69" s="28"/>
      <c r="M69" s="28"/>
      <c r="O69" s="28"/>
      <c r="P69" s="13"/>
      <c r="Q69" s="13"/>
      <c r="R69" s="13"/>
      <c r="S69" s="13"/>
      <c r="T69" s="13"/>
    </row>
    <row r="70" spans="1:20" s="14" customFormat="1" ht="12.75">
      <c r="A70" s="18"/>
      <c r="B70" s="18" t="s">
        <v>68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7"/>
      <c r="P70" s="13"/>
      <c r="Q70" s="13"/>
      <c r="R70" s="13"/>
      <c r="S70" s="13"/>
      <c r="T70" s="13"/>
    </row>
    <row r="71" spans="2:20" s="14" customFormat="1" ht="12.75">
      <c r="B71" s="16" t="s">
        <v>67</v>
      </c>
      <c r="H71" s="28"/>
      <c r="M71" s="28"/>
      <c r="O71" s="28"/>
      <c r="P71" s="13"/>
      <c r="Q71" s="13"/>
      <c r="R71" s="13"/>
      <c r="S71" s="13"/>
      <c r="T71" s="13"/>
    </row>
    <row r="72" spans="8:20" s="14" customFormat="1" ht="12.75">
      <c r="H72" s="28"/>
      <c r="M72" s="28"/>
      <c r="O72" s="28"/>
      <c r="P72" s="13"/>
      <c r="Q72" s="13"/>
      <c r="R72" s="13"/>
      <c r="S72" s="13"/>
      <c r="T72" s="13"/>
    </row>
  </sheetData>
  <sheetProtection/>
  <mergeCells count="1">
    <mergeCell ref="B68:O68"/>
  </mergeCells>
  <printOptions horizontalCentered="1"/>
  <pageMargins left="0.55" right="0.56" top="0.59" bottom="0.5" header="0.22" footer="0.01"/>
  <pageSetup fitToHeight="2" fitToWidth="1" horizontalDpi="600" verticalDpi="600" orientation="portrait" scale="62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2013-07-02T18:11:53Z</cp:lastPrinted>
  <dcterms:created xsi:type="dcterms:W3CDTF">2003-05-29T18:39:21Z</dcterms:created>
  <dcterms:modified xsi:type="dcterms:W3CDTF">2013-07-16T22:10:12Z</dcterms:modified>
  <cp:category/>
  <cp:version/>
  <cp:contentType/>
  <cp:contentStatus/>
</cp:coreProperties>
</file>