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Current Funds Budget\"/>
    </mc:Choice>
  </mc:AlternateContent>
  <bookViews>
    <workbookView xWindow="0" yWindow="0" windowWidth="28800" windowHeight="11700"/>
  </bookViews>
  <sheets>
    <sheet name="Table A Consolidated" sheetId="5" r:id="rId1"/>
    <sheet name="Table A (Boulder)" sheetId="2" r:id="rId2"/>
    <sheet name="Table A (UCCS)" sheetId="1" r:id="rId3"/>
    <sheet name="Table A (Denver)" sheetId="4" r:id="rId4"/>
    <sheet name="Table A (AMC) " sheetId="3" r:id="rId5"/>
  </sheets>
  <externalReferences>
    <externalReference r:id="rId6"/>
    <externalReference r:id="rId7"/>
  </externalReferences>
  <definedNames>
    <definedName name="_xlnm.Print_Area" localSheetId="4">'Table A (AMC) '!$A$1:$G$70</definedName>
    <definedName name="_xlnm.Print_Area" localSheetId="3">'Table A (Denver)'!$A$1:$G$68</definedName>
    <definedName name="_xlnm.Print_Area" localSheetId="2">'Table A (UCCS)'!$A$1:$G$68</definedName>
    <definedName name="_xlnm.Print_Area" localSheetId="0">'Table A Consolidated'!$A$1:$G$70</definedName>
    <definedName name="_xlnm.Print_Titles" localSheetId="4">'Table A (AMC) '!$1:$6</definedName>
    <definedName name="_xlnm.Print_Titles" localSheetId="3">'Table A (Denver)'!$1:$6</definedName>
    <definedName name="_xlnm.Print_Titles" localSheetId="2">'Table A (UCCS)'!$1:$6</definedName>
    <definedName name="_xlnm.Print_Titles" localSheetId="0">'Table A Consolidated'!$1:$6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B64" i="5" l="1"/>
  <c r="B63" i="5"/>
  <c r="G59" i="4"/>
  <c r="G58" i="4"/>
  <c r="G56" i="1"/>
  <c r="G55" i="1"/>
  <c r="F60" i="5"/>
  <c r="E60" i="5"/>
  <c r="D60" i="5"/>
  <c r="C60" i="5"/>
  <c r="B60" i="5"/>
  <c r="F59" i="5"/>
  <c r="E59" i="5"/>
  <c r="D59" i="5"/>
  <c r="C59" i="5"/>
  <c r="B59" i="5"/>
  <c r="B54" i="5"/>
  <c r="B53" i="5"/>
  <c r="F51" i="5"/>
  <c r="E51" i="5"/>
  <c r="D51" i="5"/>
  <c r="C51" i="5"/>
  <c r="B51" i="5"/>
  <c r="B52" i="5"/>
  <c r="B50" i="5"/>
  <c r="B49" i="5"/>
  <c r="B48" i="5"/>
  <c r="B47" i="5"/>
  <c r="B46" i="5"/>
  <c r="B45" i="5"/>
  <c r="B44" i="5"/>
  <c r="B43" i="5"/>
  <c r="B42" i="5"/>
  <c r="B41" i="5"/>
  <c r="G23" i="3"/>
  <c r="G51" i="3"/>
  <c r="B40" i="5"/>
  <c r="B35" i="5" l="1"/>
  <c r="E34" i="5"/>
  <c r="D34" i="5"/>
  <c r="B34" i="5"/>
  <c r="B29" i="5"/>
  <c r="B30" i="5"/>
  <c r="B31" i="5"/>
  <c r="B28" i="5"/>
  <c r="B26" i="5"/>
  <c r="B25" i="5"/>
  <c r="B24" i="5"/>
  <c r="F23" i="5"/>
  <c r="E23" i="5"/>
  <c r="D23" i="5"/>
  <c r="C23" i="5"/>
  <c r="B23" i="5"/>
  <c r="B18" i="5"/>
  <c r="B19" i="5"/>
  <c r="F21" i="5"/>
  <c r="E21" i="5"/>
  <c r="D21" i="5"/>
  <c r="C21" i="5"/>
  <c r="F20" i="5"/>
  <c r="E20" i="5"/>
  <c r="D20" i="5"/>
  <c r="C20" i="5"/>
  <c r="B20" i="5"/>
  <c r="F16" i="5"/>
  <c r="E16" i="5"/>
  <c r="D16" i="5"/>
  <c r="C16" i="5"/>
  <c r="B16" i="5"/>
  <c r="E14" i="5"/>
  <c r="D14" i="5"/>
  <c r="C14" i="5"/>
  <c r="F10" i="5"/>
  <c r="F11" i="5"/>
  <c r="F12" i="5"/>
  <c r="F13" i="5"/>
  <c r="B12" i="5"/>
  <c r="B13" i="5"/>
  <c r="F9" i="5"/>
  <c r="B9" i="5"/>
  <c r="B65" i="5"/>
  <c r="G60" i="5"/>
  <c r="G59" i="5"/>
  <c r="B55" i="5"/>
  <c r="G51" i="5"/>
  <c r="B68" i="4"/>
  <c r="B66" i="4"/>
  <c r="F65" i="4"/>
  <c r="E65" i="4"/>
  <c r="C65" i="4"/>
  <c r="D65" i="4"/>
  <c r="G63" i="4"/>
  <c r="F60" i="4"/>
  <c r="E60" i="4"/>
  <c r="D60" i="4"/>
  <c r="C60" i="4"/>
  <c r="G57" i="4"/>
  <c r="G60" i="4" s="1"/>
  <c r="F53" i="4"/>
  <c r="E53" i="4"/>
  <c r="D53" i="4"/>
  <c r="C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3" i="4"/>
  <c r="G32" i="4"/>
  <c r="G31" i="4"/>
  <c r="G30" i="4"/>
  <c r="G29" i="4"/>
  <c r="G28" i="4"/>
  <c r="G27" i="4"/>
  <c r="G26" i="4"/>
  <c r="F25" i="4"/>
  <c r="E25" i="4"/>
  <c r="D25" i="4"/>
  <c r="G24" i="4"/>
  <c r="G23" i="4"/>
  <c r="G22" i="4"/>
  <c r="G21" i="4"/>
  <c r="G20" i="4"/>
  <c r="C20" i="4"/>
  <c r="C25" i="4" s="1"/>
  <c r="G19" i="4"/>
  <c r="G18" i="4"/>
  <c r="G17" i="4"/>
  <c r="F14" i="4"/>
  <c r="F34" i="4" s="1"/>
  <c r="E14" i="4"/>
  <c r="E34" i="4" s="1"/>
  <c r="D14" i="4"/>
  <c r="G13" i="4"/>
  <c r="G12" i="4"/>
  <c r="G11" i="4"/>
  <c r="C11" i="4"/>
  <c r="G10" i="4"/>
  <c r="C10" i="4"/>
  <c r="G9" i="4"/>
  <c r="C9" i="4"/>
  <c r="G25" i="4" l="1"/>
  <c r="C14" i="4"/>
  <c r="C66" i="4"/>
  <c r="E66" i="4"/>
  <c r="F66" i="4"/>
  <c r="E68" i="4"/>
  <c r="G64" i="4"/>
  <c r="G65" i="4" s="1"/>
  <c r="F68" i="4"/>
  <c r="G14" i="4"/>
  <c r="G34" i="4" s="1"/>
  <c r="G53" i="4"/>
  <c r="D66" i="4"/>
  <c r="D34" i="4"/>
  <c r="G34" i="5"/>
  <c r="C34" i="4"/>
  <c r="C68" i="4" s="1"/>
  <c r="G16" i="5"/>
  <c r="G20" i="5"/>
  <c r="G23" i="5"/>
  <c r="G21" i="5"/>
  <c r="G68" i="4" l="1"/>
  <c r="G66" i="4"/>
  <c r="D68" i="4"/>
  <c r="G9" i="3"/>
  <c r="B10" i="3"/>
  <c r="B10" i="5" s="1"/>
  <c r="G10" i="3"/>
  <c r="B11" i="3"/>
  <c r="B11" i="5" s="1"/>
  <c r="G11" i="3"/>
  <c r="G12" i="3"/>
  <c r="G13" i="3"/>
  <c r="B14" i="3"/>
  <c r="G14" i="3"/>
  <c r="C15" i="3"/>
  <c r="D15" i="3"/>
  <c r="E15" i="3"/>
  <c r="F15" i="3"/>
  <c r="G16" i="3"/>
  <c r="G18" i="3"/>
  <c r="G19" i="3"/>
  <c r="G20" i="3"/>
  <c r="B21" i="3"/>
  <c r="B21" i="5" s="1"/>
  <c r="G21" i="3"/>
  <c r="B22" i="3"/>
  <c r="B22" i="5" s="1"/>
  <c r="G22" i="3"/>
  <c r="G24" i="3"/>
  <c r="G25" i="3"/>
  <c r="G26" i="3"/>
  <c r="C27" i="3"/>
  <c r="D27" i="3"/>
  <c r="E27" i="3"/>
  <c r="F27" i="3"/>
  <c r="G28" i="3"/>
  <c r="G29" i="3"/>
  <c r="G30" i="3"/>
  <c r="G31" i="3"/>
  <c r="B33" i="3"/>
  <c r="B33" i="5" s="1"/>
  <c r="G33" i="3"/>
  <c r="G34" i="3"/>
  <c r="G35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B55" i="3"/>
  <c r="C55" i="3"/>
  <c r="C66" i="3" s="1"/>
  <c r="D55" i="3"/>
  <c r="E55" i="3"/>
  <c r="F55" i="3"/>
  <c r="B58" i="3"/>
  <c r="G58" i="3"/>
  <c r="G59" i="3"/>
  <c r="G60" i="3"/>
  <c r="C61" i="3"/>
  <c r="D61" i="3"/>
  <c r="E61" i="3"/>
  <c r="F61" i="3"/>
  <c r="G63" i="3"/>
  <c r="D64" i="3"/>
  <c r="D65" i="3" s="1"/>
  <c r="B65" i="3"/>
  <c r="C65" i="3"/>
  <c r="E65" i="3"/>
  <c r="F65" i="3"/>
  <c r="B61" i="3" l="1"/>
  <c r="B58" i="5"/>
  <c r="B61" i="5" s="1"/>
  <c r="B66" i="5" s="1"/>
  <c r="B27" i="5"/>
  <c r="C36" i="3"/>
  <c r="C67" i="3" s="1"/>
  <c r="D36" i="3"/>
  <c r="F36" i="3"/>
  <c r="B27" i="3"/>
  <c r="B36" i="3" s="1"/>
  <c r="E36" i="3"/>
  <c r="G15" i="3"/>
  <c r="G64" i="3"/>
  <c r="G65" i="3" s="1"/>
  <c r="G61" i="3"/>
  <c r="B15" i="3"/>
  <c r="B14" i="5"/>
  <c r="B15" i="5" s="1"/>
  <c r="G55" i="3"/>
  <c r="G27" i="3"/>
  <c r="B66" i="3"/>
  <c r="F66" i="3"/>
  <c r="E66" i="3"/>
  <c r="D66" i="3"/>
  <c r="E67" i="3" l="1"/>
  <c r="F67" i="3"/>
  <c r="G36" i="3"/>
  <c r="B36" i="5"/>
  <c r="B67" i="5" s="1"/>
  <c r="B67" i="3"/>
  <c r="D67" i="3"/>
  <c r="G66" i="3"/>
  <c r="G67" i="3" l="1"/>
  <c r="G66" i="2"/>
  <c r="F66" i="2"/>
  <c r="E66" i="2"/>
  <c r="D66" i="2"/>
  <c r="C66" i="2"/>
  <c r="B66" i="2"/>
  <c r="G61" i="2"/>
  <c r="F61" i="2"/>
  <c r="E61" i="2"/>
  <c r="D61" i="2"/>
  <c r="C61" i="2"/>
  <c r="B61" i="2"/>
  <c r="G54" i="2"/>
  <c r="F54" i="2"/>
  <c r="E54" i="2"/>
  <c r="D54" i="2"/>
  <c r="C54" i="2"/>
  <c r="B54" i="2"/>
  <c r="G26" i="2"/>
  <c r="F26" i="2"/>
  <c r="E26" i="2"/>
  <c r="D26" i="2"/>
  <c r="C26" i="2"/>
  <c r="B26" i="2"/>
  <c r="G14" i="2"/>
  <c r="F14" i="2"/>
  <c r="E14" i="2"/>
  <c r="D14" i="2"/>
  <c r="C14" i="2"/>
  <c r="B14" i="2"/>
  <c r="F61" i="1"/>
  <c r="F64" i="5" s="1"/>
  <c r="E61" i="1"/>
  <c r="E64" i="5" s="1"/>
  <c r="D61" i="1"/>
  <c r="D64" i="5" s="1"/>
  <c r="C61" i="1"/>
  <c r="C64" i="5" s="1"/>
  <c r="F60" i="1"/>
  <c r="F63" i="5" s="1"/>
  <c r="E60" i="1"/>
  <c r="D60" i="1"/>
  <c r="D63" i="5" s="1"/>
  <c r="C60" i="1"/>
  <c r="B57" i="1"/>
  <c r="F54" i="1"/>
  <c r="E54" i="1"/>
  <c r="D54" i="1"/>
  <c r="C54" i="1"/>
  <c r="B50" i="1"/>
  <c r="F49" i="1"/>
  <c r="F54" i="5" s="1"/>
  <c r="E49" i="1"/>
  <c r="E54" i="5" s="1"/>
  <c r="D49" i="1"/>
  <c r="D54" i="5" s="1"/>
  <c r="C49" i="1"/>
  <c r="C54" i="5" s="1"/>
  <c r="F48" i="1"/>
  <c r="E48" i="1"/>
  <c r="E53" i="5" s="1"/>
  <c r="D48" i="1"/>
  <c r="D53" i="5" s="1"/>
  <c r="C48" i="1"/>
  <c r="C53" i="5" s="1"/>
  <c r="F47" i="1"/>
  <c r="F52" i="5" s="1"/>
  <c r="E47" i="1"/>
  <c r="E52" i="5" s="1"/>
  <c r="D47" i="1"/>
  <c r="D52" i="5" s="1"/>
  <c r="C47" i="1"/>
  <c r="C52" i="5" s="1"/>
  <c r="F46" i="1"/>
  <c r="F50" i="5" s="1"/>
  <c r="E46" i="1"/>
  <c r="E50" i="5" s="1"/>
  <c r="D46" i="1"/>
  <c r="D50" i="5" s="1"/>
  <c r="C46" i="1"/>
  <c r="C50" i="5" s="1"/>
  <c r="F45" i="1"/>
  <c r="F49" i="5" s="1"/>
  <c r="E45" i="1"/>
  <c r="E49" i="5" s="1"/>
  <c r="D45" i="1"/>
  <c r="D49" i="5" s="1"/>
  <c r="C45" i="1"/>
  <c r="C49" i="5" s="1"/>
  <c r="F44" i="1"/>
  <c r="F48" i="5" s="1"/>
  <c r="E44" i="1"/>
  <c r="E48" i="5" s="1"/>
  <c r="D44" i="1"/>
  <c r="D48" i="5" s="1"/>
  <c r="C44" i="1"/>
  <c r="C48" i="5" s="1"/>
  <c r="F43" i="1"/>
  <c r="F47" i="5" s="1"/>
  <c r="E43" i="1"/>
  <c r="E47" i="5" s="1"/>
  <c r="D43" i="1"/>
  <c r="D47" i="5" s="1"/>
  <c r="C43" i="1"/>
  <c r="C47" i="5" s="1"/>
  <c r="F42" i="1"/>
  <c r="F46" i="5" s="1"/>
  <c r="E42" i="1"/>
  <c r="E46" i="5" s="1"/>
  <c r="D42" i="1"/>
  <c r="D46" i="5" s="1"/>
  <c r="C42" i="1"/>
  <c r="C46" i="5" s="1"/>
  <c r="F41" i="1"/>
  <c r="F45" i="5" s="1"/>
  <c r="E41" i="1"/>
  <c r="E45" i="5" s="1"/>
  <c r="D41" i="1"/>
  <c r="D45" i="5" s="1"/>
  <c r="C41" i="1"/>
  <c r="C45" i="5" s="1"/>
  <c r="F40" i="1"/>
  <c r="F44" i="5" s="1"/>
  <c r="E40" i="1"/>
  <c r="E44" i="5" s="1"/>
  <c r="D40" i="1"/>
  <c r="D44" i="5" s="1"/>
  <c r="C40" i="1"/>
  <c r="C44" i="5" s="1"/>
  <c r="F39" i="1"/>
  <c r="F43" i="5" s="1"/>
  <c r="E39" i="1"/>
  <c r="E43" i="5" s="1"/>
  <c r="D39" i="1"/>
  <c r="D43" i="5" s="1"/>
  <c r="C39" i="1"/>
  <c r="C43" i="5" s="1"/>
  <c r="F38" i="1"/>
  <c r="F42" i="5" s="1"/>
  <c r="E38" i="1"/>
  <c r="E42" i="5" s="1"/>
  <c r="D38" i="1"/>
  <c r="D42" i="5" s="1"/>
  <c r="C38" i="1"/>
  <c r="C42" i="5" s="1"/>
  <c r="F37" i="1"/>
  <c r="E37" i="1"/>
  <c r="E41" i="5" s="1"/>
  <c r="D37" i="1"/>
  <c r="D41" i="5" s="1"/>
  <c r="C37" i="1"/>
  <c r="C41" i="5" s="1"/>
  <c r="F36" i="1"/>
  <c r="F40" i="5" s="1"/>
  <c r="E36" i="1"/>
  <c r="E40" i="5" s="1"/>
  <c r="D36" i="1"/>
  <c r="D40" i="5" s="1"/>
  <c r="C36" i="1"/>
  <c r="C40" i="5" s="1"/>
  <c r="F31" i="1"/>
  <c r="F35" i="5" s="1"/>
  <c r="E31" i="1"/>
  <c r="E35" i="5" s="1"/>
  <c r="D31" i="1"/>
  <c r="D35" i="5" s="1"/>
  <c r="C31" i="1"/>
  <c r="C35" i="5" s="1"/>
  <c r="F30" i="1"/>
  <c r="E30" i="1"/>
  <c r="D30" i="1"/>
  <c r="C30" i="1"/>
  <c r="C34" i="5" s="1"/>
  <c r="F29" i="1"/>
  <c r="F33" i="5" s="1"/>
  <c r="E29" i="1"/>
  <c r="E33" i="5" s="1"/>
  <c r="D29" i="1"/>
  <c r="C29" i="1"/>
  <c r="C33" i="5" s="1"/>
  <c r="F28" i="1"/>
  <c r="E28" i="1"/>
  <c r="D28" i="1"/>
  <c r="C28" i="1"/>
  <c r="C32" i="5" s="1"/>
  <c r="F27" i="1"/>
  <c r="F31" i="5" s="1"/>
  <c r="E27" i="1"/>
  <c r="E31" i="5" s="1"/>
  <c r="D27" i="1"/>
  <c r="C27" i="1"/>
  <c r="C31" i="5" s="1"/>
  <c r="F26" i="1"/>
  <c r="F30" i="5" s="1"/>
  <c r="E26" i="1"/>
  <c r="E30" i="5" s="1"/>
  <c r="D26" i="1"/>
  <c r="C26" i="1"/>
  <c r="C30" i="5" s="1"/>
  <c r="F25" i="1"/>
  <c r="F29" i="5" s="1"/>
  <c r="E25" i="1"/>
  <c r="E29" i="5" s="1"/>
  <c r="D25" i="1"/>
  <c r="D29" i="5" s="1"/>
  <c r="C25" i="1"/>
  <c r="C29" i="5" s="1"/>
  <c r="F24" i="1"/>
  <c r="F28" i="5" s="1"/>
  <c r="E24" i="1"/>
  <c r="E28" i="5" s="1"/>
  <c r="D24" i="1"/>
  <c r="C24" i="1"/>
  <c r="C28" i="5" s="1"/>
  <c r="B23" i="1"/>
  <c r="F22" i="1"/>
  <c r="F26" i="5" s="1"/>
  <c r="E22" i="1"/>
  <c r="E26" i="5" s="1"/>
  <c r="D22" i="1"/>
  <c r="D26" i="5" s="1"/>
  <c r="C22" i="1"/>
  <c r="C26" i="5" s="1"/>
  <c r="F21" i="1"/>
  <c r="F25" i="5" s="1"/>
  <c r="E21" i="1"/>
  <c r="E25" i="5" s="1"/>
  <c r="D21" i="1"/>
  <c r="C21" i="1"/>
  <c r="C25" i="5" s="1"/>
  <c r="F20" i="1"/>
  <c r="F24" i="5" s="1"/>
  <c r="E20" i="1"/>
  <c r="E24" i="5" s="1"/>
  <c r="D20" i="1"/>
  <c r="D24" i="5" s="1"/>
  <c r="C20" i="1"/>
  <c r="C24" i="5" s="1"/>
  <c r="F19" i="1"/>
  <c r="F22" i="5" s="1"/>
  <c r="E19" i="1"/>
  <c r="E22" i="5" s="1"/>
  <c r="D19" i="1"/>
  <c r="D22" i="5" s="1"/>
  <c r="C19" i="1"/>
  <c r="C22" i="5" s="1"/>
  <c r="F18" i="1"/>
  <c r="F19" i="5" s="1"/>
  <c r="E18" i="1"/>
  <c r="E19" i="5" s="1"/>
  <c r="D18" i="1"/>
  <c r="C18" i="1"/>
  <c r="C19" i="5" s="1"/>
  <c r="F17" i="1"/>
  <c r="E17" i="1"/>
  <c r="E18" i="5" s="1"/>
  <c r="D17" i="1"/>
  <c r="C17" i="1"/>
  <c r="C18" i="5" s="1"/>
  <c r="E16" i="1"/>
  <c r="E15" i="1"/>
  <c r="F14" i="1"/>
  <c r="B14" i="1"/>
  <c r="E13" i="1"/>
  <c r="E13" i="5" s="1"/>
  <c r="D13" i="1"/>
  <c r="C13" i="1"/>
  <c r="C13" i="5" s="1"/>
  <c r="E12" i="1"/>
  <c r="E12" i="5" s="1"/>
  <c r="D12" i="1"/>
  <c r="C12" i="1"/>
  <c r="C12" i="5" s="1"/>
  <c r="E11" i="1"/>
  <c r="E11" i="5" s="1"/>
  <c r="D11" i="1"/>
  <c r="C11" i="1"/>
  <c r="C11" i="5" s="1"/>
  <c r="E10" i="1"/>
  <c r="E10" i="5" s="1"/>
  <c r="D10" i="1"/>
  <c r="C10" i="1"/>
  <c r="C10" i="5" s="1"/>
  <c r="E9" i="1"/>
  <c r="D9" i="1"/>
  <c r="C9" i="1"/>
  <c r="E55" i="5" l="1"/>
  <c r="C55" i="5"/>
  <c r="G28" i="1"/>
  <c r="F65" i="5"/>
  <c r="G43" i="5"/>
  <c r="G45" i="5"/>
  <c r="G47" i="5"/>
  <c r="G49" i="5"/>
  <c r="G52" i="5"/>
  <c r="G54" i="5"/>
  <c r="B32" i="1"/>
  <c r="C62" i="1"/>
  <c r="C63" i="5"/>
  <c r="C65" i="5" s="1"/>
  <c r="G31" i="1"/>
  <c r="G37" i="1"/>
  <c r="F41" i="5"/>
  <c r="G41" i="5" s="1"/>
  <c r="D65" i="5"/>
  <c r="E62" i="1"/>
  <c r="E63" i="5"/>
  <c r="E65" i="5" s="1"/>
  <c r="D55" i="5"/>
  <c r="G40" i="5"/>
  <c r="G42" i="5"/>
  <c r="G44" i="5"/>
  <c r="G46" i="5"/>
  <c r="G48" i="5"/>
  <c r="G50" i="5"/>
  <c r="C57" i="1"/>
  <c r="C58" i="5"/>
  <c r="C61" i="5" s="1"/>
  <c r="D57" i="1"/>
  <c r="D58" i="5"/>
  <c r="G48" i="1"/>
  <c r="F53" i="5"/>
  <c r="G53" i="5" s="1"/>
  <c r="E57" i="1"/>
  <c r="E58" i="5"/>
  <c r="E61" i="5" s="1"/>
  <c r="G64" i="5"/>
  <c r="F57" i="1"/>
  <c r="F58" i="5"/>
  <c r="F61" i="5" s="1"/>
  <c r="C27" i="5"/>
  <c r="G35" i="5"/>
  <c r="C35" i="2"/>
  <c r="G24" i="5"/>
  <c r="G26" i="5"/>
  <c r="G36" i="1"/>
  <c r="G40" i="1"/>
  <c r="G44" i="1"/>
  <c r="G60" i="1"/>
  <c r="G42" i="1"/>
  <c r="F62" i="1"/>
  <c r="E23" i="1"/>
  <c r="G41" i="1"/>
  <c r="G43" i="1"/>
  <c r="G45" i="1"/>
  <c r="G61" i="1"/>
  <c r="E14" i="1"/>
  <c r="E9" i="5"/>
  <c r="E15" i="5" s="1"/>
  <c r="G10" i="1"/>
  <c r="D10" i="5"/>
  <c r="D23" i="1"/>
  <c r="D18" i="5"/>
  <c r="G20" i="1"/>
  <c r="G29" i="5"/>
  <c r="E50" i="1"/>
  <c r="G38" i="1"/>
  <c r="G49" i="1"/>
  <c r="G54" i="1"/>
  <c r="G57" i="1" s="1"/>
  <c r="G26" i="1"/>
  <c r="D30" i="5"/>
  <c r="G30" i="5" s="1"/>
  <c r="G13" i="1"/>
  <c r="D13" i="5"/>
  <c r="G13" i="5" s="1"/>
  <c r="G22" i="1"/>
  <c r="G27" i="1"/>
  <c r="D31" i="5"/>
  <c r="G31" i="5" s="1"/>
  <c r="G47" i="1"/>
  <c r="G18" i="1"/>
  <c r="D19" i="5"/>
  <c r="G19" i="5" s="1"/>
  <c r="C50" i="1"/>
  <c r="F23" i="1"/>
  <c r="F32" i="1" s="1"/>
  <c r="F18" i="5"/>
  <c r="G19" i="1"/>
  <c r="E27" i="5"/>
  <c r="G21" i="1"/>
  <c r="D25" i="5"/>
  <c r="G25" i="5" s="1"/>
  <c r="G29" i="1"/>
  <c r="D33" i="5"/>
  <c r="G33" i="5" s="1"/>
  <c r="D14" i="1"/>
  <c r="D9" i="5"/>
  <c r="G39" i="1"/>
  <c r="G30" i="1"/>
  <c r="G11" i="1"/>
  <c r="D11" i="5"/>
  <c r="G17" i="1"/>
  <c r="G25" i="1"/>
  <c r="G46" i="1"/>
  <c r="B63" i="1"/>
  <c r="B64" i="1" s="1"/>
  <c r="G12" i="1"/>
  <c r="D12" i="5"/>
  <c r="G12" i="5" s="1"/>
  <c r="C14" i="1"/>
  <c r="C9" i="5"/>
  <c r="C23" i="1"/>
  <c r="G24" i="1"/>
  <c r="D28" i="5"/>
  <c r="G28" i="5" s="1"/>
  <c r="E67" i="2"/>
  <c r="G67" i="2"/>
  <c r="D35" i="2"/>
  <c r="B35" i="2"/>
  <c r="F67" i="2"/>
  <c r="F35" i="2"/>
  <c r="F14" i="5"/>
  <c r="B67" i="2"/>
  <c r="D67" i="2"/>
  <c r="E35" i="2"/>
  <c r="G35" i="2"/>
  <c r="C67" i="2"/>
  <c r="C74" i="2" s="1"/>
  <c r="D50" i="1"/>
  <c r="G9" i="1"/>
  <c r="D62" i="1"/>
  <c r="F50" i="1"/>
  <c r="G15" i="1"/>
  <c r="C15" i="5" l="1"/>
  <c r="C36" i="5" s="1"/>
  <c r="G11" i="5"/>
  <c r="G10" i="5"/>
  <c r="F27" i="5"/>
  <c r="G62" i="1"/>
  <c r="D32" i="1"/>
  <c r="C66" i="5"/>
  <c r="G63" i="5"/>
  <c r="G65" i="5" s="1"/>
  <c r="E66" i="5"/>
  <c r="C63" i="1"/>
  <c r="G55" i="5"/>
  <c r="G50" i="1"/>
  <c r="F63" i="1"/>
  <c r="E63" i="1"/>
  <c r="F55" i="5"/>
  <c r="F66" i="5" s="1"/>
  <c r="G58" i="5"/>
  <c r="G61" i="5" s="1"/>
  <c r="D61" i="5"/>
  <c r="D66" i="5" s="1"/>
  <c r="E36" i="5"/>
  <c r="E74" i="2"/>
  <c r="E32" i="1"/>
  <c r="C32" i="1"/>
  <c r="C64" i="1" s="1"/>
  <c r="G9" i="5"/>
  <c r="D15" i="5"/>
  <c r="G23" i="1"/>
  <c r="G14" i="1"/>
  <c r="G22" i="5"/>
  <c r="G18" i="5"/>
  <c r="D27" i="5"/>
  <c r="G74" i="2"/>
  <c r="B74" i="2"/>
  <c r="G14" i="5"/>
  <c r="F15" i="5"/>
  <c r="F74" i="2"/>
  <c r="D74" i="2"/>
  <c r="D63" i="1"/>
  <c r="F36" i="5" l="1"/>
  <c r="F67" i="5" s="1"/>
  <c r="G63" i="1"/>
  <c r="C67" i="5"/>
  <c r="G66" i="5"/>
  <c r="E67" i="5"/>
  <c r="G27" i="5"/>
  <c r="G15" i="5"/>
  <c r="D36" i="5"/>
  <c r="G32" i="1"/>
  <c r="G36" i="5" l="1"/>
  <c r="D67" i="5"/>
  <c r="G67" i="5" l="1"/>
</calcChain>
</file>

<file path=xl/sharedStrings.xml><?xml version="1.0" encoding="utf-8"?>
<sst xmlns="http://schemas.openxmlformats.org/spreadsheetml/2006/main" count="368" uniqueCount="91">
  <si>
    <t>Table A:  FY 2022-23 Current Funds Budget</t>
  </si>
  <si>
    <t>University of Colorado</t>
  </si>
  <si>
    <t>Colorado Springs</t>
  </si>
  <si>
    <t>Description</t>
  </si>
  <si>
    <t>FY 2021-22</t>
  </si>
  <si>
    <t>FY 2022-23</t>
  </si>
  <si>
    <t xml:space="preserve">Original Total Current Funds </t>
  </si>
  <si>
    <t xml:space="preserve">June Estimate Total Current Funds </t>
  </si>
  <si>
    <t>Education &amp; General Fund</t>
  </si>
  <si>
    <t>Auxiliary &amp; 
Self-Funded Activities</t>
  </si>
  <si>
    <t>Restricted Fund</t>
  </si>
  <si>
    <t>Total Current Funds Budget</t>
  </si>
  <si>
    <t>Revenues</t>
  </si>
  <si>
    <t>Student Tuition and Fees</t>
  </si>
  <si>
    <t>Resident Tuition - COF</t>
  </si>
  <si>
    <t>Resident Tuition - Student Share</t>
  </si>
  <si>
    <t>Non-Resident Tuition</t>
  </si>
  <si>
    <t>Other tuition - Continuing Education</t>
  </si>
  <si>
    <t>Student fees</t>
  </si>
  <si>
    <t>Subtotal - Student Tuition and Fees</t>
  </si>
  <si>
    <t>Investment and Interest Income</t>
  </si>
  <si>
    <t>Grants and Contracts</t>
  </si>
  <si>
    <t>Federal Grants &amp; Contracts</t>
  </si>
  <si>
    <t>State and Local Grants &amp; Contracts</t>
  </si>
  <si>
    <r>
      <t xml:space="preserve">Fee for Service Contract </t>
    </r>
    <r>
      <rPr>
        <sz val="11"/>
        <rFont val="Calibri"/>
        <family val="2"/>
        <scheme val="minor"/>
      </rPr>
      <t>&lt;1 &gt;</t>
    </r>
  </si>
  <si>
    <t xml:space="preserve">CRRSSA - HEERF II (Institutional Share)  </t>
  </si>
  <si>
    <t xml:space="preserve">ARP - HEERF III (Student Share)  </t>
  </si>
  <si>
    <t xml:space="preserve">ARP - HEERF III (Institutional Share)  </t>
  </si>
  <si>
    <t>Subtotal - Grants &amp; Contracts</t>
  </si>
  <si>
    <t>Private/other gifts, grants and contracts</t>
  </si>
  <si>
    <t>Sales &amp; Services of educational departments</t>
  </si>
  <si>
    <t>Auxiliary Operating Revenues</t>
  </si>
  <si>
    <t>Health Services</t>
  </si>
  <si>
    <t>Other Revenues:</t>
  </si>
  <si>
    <t>Indirect Cost Reimbursement</t>
  </si>
  <si>
    <t>Denver AHEC Library Funding</t>
  </si>
  <si>
    <t>Other Sources</t>
  </si>
  <si>
    <t>TOTAL REVENUES</t>
  </si>
  <si>
    <t>Expenditures</t>
  </si>
  <si>
    <t>Educational &amp; General: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</si>
  <si>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</si>
  <si>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</si>
  <si>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</si>
  <si>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</si>
  <si>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</si>
  <si>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</si>
  <si>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Operations of Plant</t>
  </si>
  <si>
    <t>Scholarships &amp; Fellowships</t>
  </si>
  <si>
    <t>Auxiliary operating expenditures</t>
  </si>
  <si>
    <t>Other</t>
  </si>
  <si>
    <t>TOTAL EXPENDITURES</t>
  </si>
  <si>
    <t>Transfers Between Funds</t>
  </si>
  <si>
    <t>Mandatory Transfers</t>
  </si>
  <si>
    <t>Principal and interest</t>
  </si>
  <si>
    <t>Renewals &amp; replacements</t>
  </si>
  <si>
    <t>Matching funds/Other</t>
  </si>
  <si>
    <t>Subtotal -- Mandatory Transfers</t>
  </si>
  <si>
    <t>Voluntary Transfers &amp; Other</t>
  </si>
  <si>
    <t>Restricted receipts to be expended in future years</t>
  </si>
  <si>
    <t>Subtotal Voluntary Transfers</t>
  </si>
  <si>
    <t>TOTAL EXPENDITURES &amp; TRANSFERS</t>
  </si>
  <si>
    <t>Net Increase (Decrease) in Fund Balances</t>
  </si>
  <si>
    <t>FY23: E&amp;G $10,224,446 in President's Initiatives/ASP</t>
  </si>
  <si>
    <t>Boulder Campus</t>
  </si>
  <si>
    <t>Tobacco Funding</t>
  </si>
  <si>
    <t xml:space="preserve">Fee for Service Contract </t>
  </si>
  <si>
    <t>CRRSSA - HEERF II (Student Share)</t>
  </si>
  <si>
    <t>CRRSSA - HEERF II (Institutional Share)</t>
  </si>
  <si>
    <t>ARP - HEERF III (Student Share)</t>
  </si>
  <si>
    <t>ARP - HEERF III (Institutional Share)</t>
  </si>
  <si>
    <t xml:space="preserve">Net Increase (Decrease) in Fund Balances by federal fund source </t>
  </si>
  <si>
    <t xml:space="preserve">   CARES Act - Coronavirus Relief Fund </t>
  </si>
  <si>
    <t xml:space="preserve">Net Increase (Decrease) in Fund Balances (Total) </t>
  </si>
  <si>
    <t>&lt;1&gt;   Of this FY 2022-23 Tobacco Funding amount, $1,737,877 is for tobacco-related in-state Cancer Research at the CU Anschutz Medical Campus.</t>
  </si>
  <si>
    <r>
      <t>Marijuana Tax Cash Fund</t>
    </r>
    <r>
      <rPr>
        <sz val="11"/>
        <color theme="1"/>
        <rFont val="Calibri"/>
        <family val="2"/>
        <scheme val="minor"/>
      </rPr>
      <t xml:space="preserve"> &lt;2&gt;</t>
    </r>
  </si>
  <si>
    <r>
      <t>Tobacco Funding</t>
    </r>
    <r>
      <rPr>
        <sz val="11"/>
        <color theme="1"/>
        <rFont val="Calibri"/>
        <family val="2"/>
        <scheme val="minor"/>
      </rPr>
      <t xml:space="preserve"> &lt;1&gt;</t>
    </r>
  </si>
  <si>
    <t>Accountable Student fees</t>
  </si>
  <si>
    <t>Anschutz Medical Campus</t>
  </si>
  <si>
    <t>Denver Campus</t>
  </si>
  <si>
    <r>
      <t>Tobacco Funding</t>
    </r>
    <r>
      <rPr>
        <sz val="11"/>
        <rFont val="Calibri"/>
        <family val="2"/>
        <scheme val="minor"/>
      </rPr>
      <t xml:space="preserve"> </t>
    </r>
  </si>
  <si>
    <t xml:space="preserve">Scholarships &amp; Fellowships </t>
  </si>
  <si>
    <t xml:space="preserve">ARP - HEERF III (Institutional Share) </t>
  </si>
  <si>
    <t>CU Consolidated</t>
  </si>
  <si>
    <t>&lt;2&gt;   Of this FY 2022-23 Marijuana Tax Cash Fund amount:
         $4,825,000 is for the expansion of the Medication-Assisted Treatment Pilot Program and Public Awareness Campaign and items in the Behavioral Health Recovery Act (SB21-137)
         $2,000,000  is for the School of Public Health for the Regulation of Marijuana for Safe Consumption (HB 21-1317)</t>
  </si>
  <si>
    <t>&lt;3&gt;  Of this FY 2022-23 Fee for Service Contract amount $92,212,763: 
        $80,321,565 is reflected as Specialty Education Programs identified for the CU Anschutz Medical Campus  (COF FFS 23-18-304).   Of this Specialty Education Programs, $79,685,357 is from CU Medicine for the purpose of fee-for-service replacement.  Of the total, an additional $11,166,420 is from Medicine for the purpose of fee-for-service replacement due to HB 21-213 (Enhanced FMAP).   See FY 2022-23 Long Bill - SB22-1329, Footnote 33, for more detail on the Colorado Department of Higher Education transfers to the Colorado Department of Health Care Policy and Financing.
        $500,000 is for the Alzheimer's Disease Treatment and Research Center (SB14-211, COF FFS 23-18-304)
        $485,000 is for the Rural Health (SB22-172)
        $239,778 is for the Teacher Shortage (SB21-185, COF FFS 23-18-308)</t>
  </si>
  <si>
    <r>
      <t xml:space="preserve">Fee for Service Contract </t>
    </r>
    <r>
      <rPr>
        <sz val="11"/>
        <color theme="1"/>
        <rFont val="Calibri"/>
        <family val="2"/>
        <scheme val="minor"/>
      </rPr>
      <t xml:space="preserve">&lt;3&gt; </t>
    </r>
  </si>
  <si>
    <t>Net Increase (Decrease) in Fund Balances+49:6748:67A7053:6747:6750:6751:6750:6748:6747:67</t>
  </si>
  <si>
    <t>&lt;3&gt;  Of this FY 2022-23 Fee for Service Contract amount: 
            $80,321,565 is reflected as Specialty Education Programs identified for the CU Anschutz Medical Campus  (COF FFS 23-18-304).   Of this Specialty Education Programs, $79,685,357 is from CU Medicine for the purpose of fee-for-service replacement.  Of the total, an additional $11,166,420 is from Medicine for the purpose of fee-for-service replacement due to HB 21-213 (Enhanced FMAP).   See FY 2022-23 Long Bill - SB22-1329, Footnote 33, for more detail on the Colorado Department of Higher Education transfers to the Colorado Department of Health Care Policy and Financing.
           $500,000 is for the Alzheimer's Disease Treatment and Research Center (SB14-211, COF FFS 23-18-304)
           $550,000 is for the Rural Health (SB22-172) ($65,000 for UCCS is not reflected in tables)
           $239,778 is for the Teacher Shortage (SB21-185, COF FFS 23-18-308) at Anschutz Medical Campus, and
           $2,800,000 is for the Cyber Coding Cryptology for state records (SB18-086, COF FFS 23-18-308) at the University of Colorado, Colorado Springs.</t>
  </si>
  <si>
    <r>
      <t xml:space="preserve">CARES Act - Coronavirus Relief Fund </t>
    </r>
    <r>
      <rPr>
        <sz val="11"/>
        <rFont val="Calibri"/>
        <family val="2"/>
        <scheme val="minor"/>
      </rPr>
      <t>&lt;5&gt;</t>
    </r>
  </si>
  <si>
    <t xml:space="preserve">&lt;1&gt; Of this FY 2021-22 Fee for Service Contract amount:
              $2,800,000 is for the Cyber Coding Cryptology for state records (SB18-086, COF FFS 23-18-308).
              $65,000 for 22-172 not captured here.
</t>
  </si>
  <si>
    <t>Note:  
FY 2019-20 amounts included here are for comparison purposes and are from the June 2020 FY 2019-20 estimates column included in the FY 2020-21 approved budgets.
FY 2021-22 Higher Education Emergency Relief Funds (HEERF) are based on current estimates.  Actuals will be based on campus drawdowns for allowable purposes and expenses per federal guidance.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</si>
</sst>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[Red]\([$$-409]#,##0\)"/>
    <numFmt numFmtId="165" formatCode="&quot;$&quot;#,##0"/>
    <numFmt numFmtId="166" formatCode="[$$-409]#,##0"/>
    <numFmt numFmtId="167" formatCode="[$$-409]#,##0.0000_);[Red]\([$$-409]#,##0.00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i/>
      <sz val="12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2" fillId="0" borderId="0"/>
    <xf numFmtId="5" fontId="2" fillId="0" borderId="0" applyFont="0" applyFill="0" applyBorder="0" applyAlignment="0" applyProtection="0"/>
  </cellStyleXfs>
  <cellXfs count="356">
    <xf numFmtId="0" fontId="0" fillId="0" borderId="0" xfId="0"/>
    <xf numFmtId="0" fontId="3" fillId="0" borderId="0" xfId="1" applyNumberFormat="1" applyFont="1" applyAlignment="1">
      <alignment horizontal="centerContinuous"/>
    </xf>
    <xf numFmtId="164" fontId="4" fillId="0" borderId="0" xfId="1" applyNumberFormat="1" applyFont="1"/>
    <xf numFmtId="0" fontId="5" fillId="0" borderId="0" xfId="1" applyNumberFormat="1" applyFont="1" applyAlignment="1">
      <alignment horizontal="centerContinuous"/>
    </xf>
    <xf numFmtId="164" fontId="5" fillId="0" borderId="0" xfId="1" applyNumberFormat="1" applyFont="1" applyAlignment="1">
      <alignment horizontal="center"/>
    </xf>
    <xf numFmtId="164" fontId="3" fillId="2" borderId="6" xfId="1" applyNumberFormat="1" applyFont="1" applyFill="1" applyBorder="1" applyAlignment="1">
      <alignment horizontal="center" wrapText="1"/>
    </xf>
    <xf numFmtId="164" fontId="3" fillId="2" borderId="4" xfId="1" applyNumberFormat="1" applyFont="1" applyFill="1" applyBorder="1" applyAlignment="1">
      <alignment horizontal="center" wrapText="1"/>
    </xf>
    <xf numFmtId="164" fontId="3" fillId="0" borderId="0" xfId="1" applyNumberFormat="1" applyFont="1" applyAlignment="1">
      <alignment horizontal="center"/>
    </xf>
    <xf numFmtId="164" fontId="3" fillId="0" borderId="7" xfId="1" applyNumberFormat="1" applyFont="1" applyBorder="1"/>
    <xf numFmtId="164" fontId="3" fillId="0" borderId="8" xfId="1" applyNumberFormat="1" applyFont="1" applyBorder="1"/>
    <xf numFmtId="164" fontId="4" fillId="0" borderId="8" xfId="1" applyNumberFormat="1" applyFont="1" applyBorder="1" applyAlignment="1">
      <alignment wrapText="1"/>
    </xf>
    <xf numFmtId="164" fontId="4" fillId="0" borderId="0" xfId="1" applyNumberFormat="1" applyFont="1" applyBorder="1" applyAlignment="1">
      <alignment wrapText="1"/>
    </xf>
    <xf numFmtId="164" fontId="4" fillId="0" borderId="9" xfId="1" applyNumberFormat="1" applyFont="1" applyBorder="1" applyAlignment="1">
      <alignment wrapText="1"/>
    </xf>
    <xf numFmtId="164" fontId="4" fillId="0" borderId="7" xfId="1" applyNumberFormat="1" applyFont="1" applyBorder="1"/>
    <xf numFmtId="164" fontId="4" fillId="0" borderId="8" xfId="1" applyNumberFormat="1" applyFont="1" applyBorder="1"/>
    <xf numFmtId="165" fontId="4" fillId="0" borderId="8" xfId="2" applyNumberFormat="1" applyFont="1" applyBorder="1" applyAlignment="1">
      <alignment wrapText="1"/>
    </xf>
    <xf numFmtId="164" fontId="4" fillId="0" borderId="7" xfId="1" applyNumberFormat="1" applyFont="1" applyBorder="1" applyAlignment="1">
      <alignment horizontal="left" indent="1"/>
    </xf>
    <xf numFmtId="165" fontId="4" fillId="0" borderId="8" xfId="3" applyNumberFormat="1" applyFont="1" applyBorder="1" applyAlignment="1">
      <alignment wrapText="1"/>
    </xf>
    <xf numFmtId="165" fontId="4" fillId="0" borderId="0" xfId="3" applyNumberFormat="1" applyFont="1" applyFill="1" applyBorder="1" applyAlignment="1">
      <alignment wrapText="1"/>
    </xf>
    <xf numFmtId="165" fontId="4" fillId="0" borderId="0" xfId="3" applyNumberFormat="1" applyFont="1" applyBorder="1" applyAlignment="1">
      <alignment wrapText="1"/>
    </xf>
    <xf numFmtId="165" fontId="4" fillId="0" borderId="8" xfId="3" applyNumberFormat="1" applyFont="1" applyFill="1" applyBorder="1" applyAlignment="1">
      <alignment wrapText="1"/>
    </xf>
    <xf numFmtId="164" fontId="4" fillId="0" borderId="10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right"/>
    </xf>
    <xf numFmtId="165" fontId="3" fillId="0" borderId="13" xfId="3" applyNumberFormat="1" applyFont="1" applyBorder="1" applyAlignment="1">
      <alignment wrapText="1"/>
    </xf>
    <xf numFmtId="165" fontId="3" fillId="0" borderId="12" xfId="2" applyNumberFormat="1" applyFont="1" applyBorder="1" applyAlignment="1">
      <alignment wrapText="1"/>
    </xf>
    <xf numFmtId="164" fontId="3" fillId="0" borderId="0" xfId="1" applyNumberFormat="1" applyFont="1"/>
    <xf numFmtId="164" fontId="4" fillId="0" borderId="7" xfId="1" applyNumberFormat="1" applyFont="1" applyFill="1" applyBorder="1" applyAlignment="1">
      <alignment horizontal="left" indent="1"/>
    </xf>
    <xf numFmtId="165" fontId="4" fillId="0" borderId="8" xfId="2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horizontal="left" indent="1"/>
    </xf>
    <xf numFmtId="164" fontId="3" fillId="0" borderId="11" xfId="1" applyNumberFormat="1" applyFont="1" applyFill="1" applyBorder="1" applyAlignment="1">
      <alignment horizontal="right"/>
    </xf>
    <xf numFmtId="165" fontId="3" fillId="0" borderId="12" xfId="3" applyNumberFormat="1" applyFont="1" applyFill="1" applyBorder="1" applyAlignment="1">
      <alignment wrapText="1"/>
    </xf>
    <xf numFmtId="165" fontId="3" fillId="0" borderId="13" xfId="3" applyNumberFormat="1" applyFont="1" applyFill="1" applyBorder="1" applyAlignment="1">
      <alignment wrapText="1"/>
    </xf>
    <xf numFmtId="164" fontId="4" fillId="0" borderId="7" xfId="1" applyNumberFormat="1" applyFont="1" applyFill="1" applyBorder="1"/>
    <xf numFmtId="164" fontId="4" fillId="0" borderId="14" xfId="1" applyNumberFormat="1" applyFont="1" applyFill="1" applyBorder="1" applyAlignment="1">
      <alignment horizontal="left" indent="1"/>
    </xf>
    <xf numFmtId="165" fontId="4" fillId="0" borderId="14" xfId="3" applyNumberFormat="1" applyFont="1" applyFill="1" applyBorder="1" applyAlignment="1">
      <alignment wrapText="1"/>
    </xf>
    <xf numFmtId="165" fontId="4" fillId="0" borderId="15" xfId="3" applyNumberFormat="1" applyFont="1" applyFill="1" applyBorder="1" applyAlignment="1">
      <alignment wrapText="1"/>
    </xf>
    <xf numFmtId="165" fontId="4" fillId="0" borderId="16" xfId="3" applyNumberFormat="1" applyFont="1" applyFill="1" applyBorder="1" applyAlignment="1">
      <alignment wrapText="1"/>
    </xf>
    <xf numFmtId="164" fontId="3" fillId="0" borderId="17" xfId="1" applyNumberFormat="1" applyFont="1" applyFill="1" applyBorder="1"/>
    <xf numFmtId="165" fontId="3" fillId="0" borderId="18" xfId="3" applyNumberFormat="1" applyFont="1" applyFill="1" applyBorder="1" applyAlignment="1">
      <alignment wrapText="1"/>
    </xf>
    <xf numFmtId="165" fontId="3" fillId="0" borderId="19" xfId="3" applyNumberFormat="1" applyFont="1" applyFill="1" applyBorder="1" applyAlignment="1">
      <alignment wrapText="1"/>
    </xf>
    <xf numFmtId="165" fontId="3" fillId="0" borderId="18" xfId="2" applyNumberFormat="1" applyFont="1" applyFill="1" applyBorder="1" applyAlignment="1">
      <alignment wrapText="1"/>
    </xf>
    <xf numFmtId="165" fontId="4" fillId="0" borderId="8" xfId="3" applyNumberFormat="1" applyFont="1" applyFill="1" applyBorder="1" applyAlignment="1"/>
    <xf numFmtId="164" fontId="3" fillId="0" borderId="7" xfId="1" applyNumberFormat="1" applyFont="1" applyFill="1" applyBorder="1"/>
    <xf numFmtId="165" fontId="3" fillId="0" borderId="8" xfId="3" applyNumberFormat="1" applyFont="1" applyFill="1" applyBorder="1" applyAlignment="1"/>
    <xf numFmtId="165" fontId="3" fillId="0" borderId="20" xfId="3" applyNumberFormat="1" applyFont="1" applyFill="1" applyBorder="1" applyAlignment="1">
      <alignment wrapText="1"/>
    </xf>
    <xf numFmtId="164" fontId="4" fillId="0" borderId="11" xfId="1" applyNumberFormat="1" applyFont="1" applyBorder="1" applyAlignment="1">
      <alignment horizontal="right"/>
    </xf>
    <xf numFmtId="165" fontId="4" fillId="0" borderId="12" xfId="3" applyNumberFormat="1" applyFont="1" applyBorder="1" applyAlignment="1">
      <alignment wrapText="1"/>
    </xf>
    <xf numFmtId="165" fontId="4" fillId="0" borderId="13" xfId="3" applyNumberFormat="1" applyFont="1" applyBorder="1" applyAlignment="1">
      <alignment wrapText="1"/>
    </xf>
    <xf numFmtId="165" fontId="4" fillId="0" borderId="12" xfId="2" applyNumberFormat="1" applyFont="1" applyBorder="1" applyAlignment="1">
      <alignment wrapText="1"/>
    </xf>
    <xf numFmtId="165" fontId="4" fillId="0" borderId="19" xfId="3" applyNumberFormat="1" applyFont="1" applyFill="1" applyBorder="1" applyAlignment="1">
      <alignment wrapText="1"/>
    </xf>
    <xf numFmtId="165" fontId="4" fillId="0" borderId="19" xfId="3" applyNumberFormat="1" applyFont="1" applyBorder="1" applyAlignment="1">
      <alignment wrapText="1"/>
    </xf>
    <xf numFmtId="164" fontId="4" fillId="0" borderId="21" xfId="1" applyNumberFormat="1" applyFont="1" applyBorder="1" applyAlignment="1">
      <alignment horizontal="right"/>
    </xf>
    <xf numFmtId="165" fontId="4" fillId="0" borderId="22" xfId="3" applyNumberFormat="1" applyFont="1" applyBorder="1" applyAlignment="1">
      <alignment wrapText="1"/>
    </xf>
    <xf numFmtId="165" fontId="4" fillId="0" borderId="23" xfId="3" applyNumberFormat="1" applyFont="1" applyBorder="1" applyAlignment="1">
      <alignment wrapText="1"/>
    </xf>
    <xf numFmtId="164" fontId="3" fillId="0" borderId="10" xfId="1" applyNumberFormat="1" applyFont="1" applyBorder="1"/>
    <xf numFmtId="165" fontId="3" fillId="0" borderId="18" xfId="3" applyNumberFormat="1" applyFont="1" applyBorder="1" applyAlignment="1">
      <alignment wrapText="1"/>
    </xf>
    <xf numFmtId="165" fontId="3" fillId="0" borderId="20" xfId="3" applyNumberFormat="1" applyFont="1" applyBorder="1" applyAlignment="1">
      <alignment wrapText="1"/>
    </xf>
    <xf numFmtId="165" fontId="3" fillId="0" borderId="24" xfId="3" applyNumberFormat="1" applyFont="1" applyBorder="1" applyAlignment="1">
      <alignment wrapText="1"/>
    </xf>
    <xf numFmtId="165" fontId="3" fillId="0" borderId="25" xfId="3" applyNumberFormat="1" applyFont="1" applyBorder="1" applyAlignment="1">
      <alignment wrapText="1"/>
    </xf>
    <xf numFmtId="164" fontId="3" fillId="0" borderId="26" xfId="1" applyNumberFormat="1" applyFont="1" applyBorder="1"/>
    <xf numFmtId="165" fontId="3" fillId="0" borderId="27" xfId="3" applyNumberFormat="1" applyFont="1" applyBorder="1" applyAlignment="1">
      <alignment wrapText="1"/>
    </xf>
    <xf numFmtId="165" fontId="3" fillId="0" borderId="28" xfId="3" applyNumberFormat="1" applyFont="1" applyBorder="1" applyAlignment="1">
      <alignment wrapText="1"/>
    </xf>
    <xf numFmtId="165" fontId="3" fillId="0" borderId="26" xfId="3" applyNumberFormat="1" applyFont="1" applyBorder="1" applyAlignment="1">
      <alignment wrapText="1"/>
    </xf>
    <xf numFmtId="165" fontId="3" fillId="0" borderId="29" xfId="3" applyNumberFormat="1" applyFont="1" applyBorder="1" applyAlignment="1">
      <alignment wrapText="1"/>
    </xf>
    <xf numFmtId="165" fontId="4" fillId="0" borderId="29" xfId="2" applyNumberFormat="1" applyFont="1" applyBorder="1" applyAlignment="1">
      <alignment wrapText="1"/>
    </xf>
    <xf numFmtId="164" fontId="4" fillId="0" borderId="0" xfId="1" applyNumberFormat="1" applyFont="1" applyFill="1"/>
    <xf numFmtId="165" fontId="4" fillId="0" borderId="0" xfId="3" applyNumberFormat="1" applyFont="1" applyFill="1" applyAlignment="1"/>
    <xf numFmtId="164" fontId="4" fillId="0" borderId="0" xfId="1" applyNumberFormat="1" applyFont="1" applyFill="1" applyBorder="1"/>
    <xf numFmtId="164" fontId="4" fillId="0" borderId="0" xfId="1" applyNumberFormat="1" applyFont="1" applyAlignment="1">
      <alignment wrapText="1"/>
    </xf>
    <xf numFmtId="0" fontId="7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2" borderId="6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wrapText="1"/>
    </xf>
    <xf numFmtId="164" fontId="7" fillId="0" borderId="7" xfId="0" applyNumberFormat="1" applyFont="1" applyBorder="1"/>
    <xf numFmtId="164" fontId="7" fillId="0" borderId="8" xfId="0" applyNumberFormat="1" applyFont="1" applyBorder="1"/>
    <xf numFmtId="164" fontId="10" fillId="0" borderId="8" xfId="0" applyNumberFormat="1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164" fontId="10" fillId="0" borderId="9" xfId="0" applyNumberFormat="1" applyFont="1" applyBorder="1" applyAlignment="1">
      <alignment wrapText="1"/>
    </xf>
    <xf numFmtId="164" fontId="10" fillId="0" borderId="7" xfId="0" applyNumberFormat="1" applyFont="1" applyBorder="1"/>
    <xf numFmtId="165" fontId="10" fillId="0" borderId="8" xfId="0" applyNumberFormat="1" applyFont="1" applyBorder="1"/>
    <xf numFmtId="165" fontId="10" fillId="0" borderId="8" xfId="0" applyNumberFormat="1" applyFont="1" applyBorder="1" applyAlignment="1">
      <alignment wrapText="1"/>
    </xf>
    <xf numFmtId="165" fontId="10" fillId="0" borderId="7" xfId="0" applyNumberFormat="1" applyFont="1" applyBorder="1" applyAlignment="1">
      <alignment wrapText="1"/>
    </xf>
    <xf numFmtId="165" fontId="10" fillId="0" borderId="0" xfId="0" applyNumberFormat="1" applyFont="1" applyBorder="1" applyAlignment="1">
      <alignment wrapText="1"/>
    </xf>
    <xf numFmtId="164" fontId="10" fillId="0" borderId="7" xfId="0" applyNumberFormat="1" applyFont="1" applyBorder="1" applyAlignment="1">
      <alignment horizontal="left" indent="1"/>
    </xf>
    <xf numFmtId="165" fontId="10" fillId="0" borderId="8" xfId="0" applyNumberFormat="1" applyFont="1" applyFill="1" applyBorder="1" applyAlignment="1"/>
    <xf numFmtId="165" fontId="10" fillId="0" borderId="30" xfId="0" applyNumberFormat="1" applyFont="1" applyBorder="1" applyAlignment="1">
      <alignment wrapText="1"/>
    </xf>
    <xf numFmtId="164" fontId="10" fillId="0" borderId="10" xfId="0" applyNumberFormat="1" applyFont="1" applyBorder="1" applyAlignment="1">
      <alignment horizontal="left" indent="1"/>
    </xf>
    <xf numFmtId="164" fontId="7" fillId="0" borderId="11" xfId="0" applyNumberFormat="1" applyFont="1" applyBorder="1" applyAlignment="1">
      <alignment horizontal="right"/>
    </xf>
    <xf numFmtId="165" fontId="7" fillId="0" borderId="12" xfId="0" applyNumberFormat="1" applyFont="1" applyBorder="1" applyAlignment="1"/>
    <xf numFmtId="165" fontId="7" fillId="0" borderId="11" xfId="0" applyNumberFormat="1" applyFont="1" applyBorder="1" applyAlignment="1"/>
    <xf numFmtId="165" fontId="7" fillId="0" borderId="31" xfId="0" applyNumberFormat="1" applyFont="1" applyBorder="1" applyAlignment="1"/>
    <xf numFmtId="165" fontId="7" fillId="0" borderId="13" xfId="0" applyNumberFormat="1" applyFont="1" applyBorder="1" applyAlignment="1"/>
    <xf numFmtId="165" fontId="10" fillId="0" borderId="8" xfId="0" applyNumberFormat="1" applyFont="1" applyFill="1" applyBorder="1" applyAlignment="1">
      <alignment wrapText="1"/>
    </xf>
    <xf numFmtId="165" fontId="7" fillId="0" borderId="8" xfId="0" applyNumberFormat="1" applyFont="1" applyFill="1" applyBorder="1" applyAlignment="1"/>
    <xf numFmtId="164" fontId="10" fillId="0" borderId="11" xfId="0" applyNumberFormat="1" applyFont="1" applyBorder="1" applyAlignment="1">
      <alignment horizontal="right"/>
    </xf>
    <xf numFmtId="164" fontId="11" fillId="0" borderId="0" xfId="0" applyNumberFormat="1" applyFont="1" applyFill="1" applyAlignment="1">
      <alignment vertical="center" wrapText="1"/>
    </xf>
    <xf numFmtId="164" fontId="10" fillId="0" borderId="0" xfId="0" applyNumberFormat="1" applyFont="1"/>
    <xf numFmtId="164" fontId="10" fillId="0" borderId="0" xfId="0" applyNumberFormat="1" applyFont="1" applyAlignment="1">
      <alignment wrapText="1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4" fillId="0" borderId="0" xfId="1" applyFont="1"/>
    <xf numFmtId="164" fontId="4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164" fontId="12" fillId="0" borderId="0" xfId="1" applyNumberFormat="1" applyFont="1" applyFill="1" applyAlignment="1">
      <alignment vertical="center"/>
    </xf>
    <xf numFmtId="165" fontId="4" fillId="0" borderId="38" xfId="3" applyNumberFormat="1" applyFont="1" applyBorder="1" applyAlignment="1">
      <alignment wrapText="1"/>
    </xf>
    <xf numFmtId="165" fontId="4" fillId="0" borderId="36" xfId="3" applyNumberFormat="1" applyFont="1" applyBorder="1" applyAlignment="1">
      <alignment wrapText="1"/>
    </xf>
    <xf numFmtId="165" fontId="4" fillId="0" borderId="39" xfId="3" applyNumberFormat="1" applyFont="1" applyBorder="1" applyAlignment="1">
      <alignment wrapText="1"/>
    </xf>
    <xf numFmtId="165" fontId="4" fillId="0" borderId="5" xfId="3" applyNumberFormat="1" applyFont="1" applyFill="1" applyBorder="1" applyAlignment="1">
      <alignment wrapText="1"/>
    </xf>
    <xf numFmtId="165" fontId="4" fillId="0" borderId="5" xfId="3" applyNumberFormat="1" applyFont="1" applyBorder="1" applyAlignment="1">
      <alignment wrapText="1"/>
    </xf>
    <xf numFmtId="165" fontId="4" fillId="0" borderId="5" xfId="3" applyNumberFormat="1" applyFont="1" applyFill="1" applyBorder="1" applyAlignment="1"/>
    <xf numFmtId="164" fontId="4" fillId="0" borderId="5" xfId="1" applyNumberFormat="1" applyFont="1" applyBorder="1"/>
    <xf numFmtId="165" fontId="3" fillId="0" borderId="40" xfId="3" applyNumberFormat="1" applyFont="1" applyFill="1" applyBorder="1" applyAlignment="1">
      <alignment wrapText="1"/>
    </xf>
    <xf numFmtId="165" fontId="3" fillId="0" borderId="10" xfId="3" applyNumberFormat="1" applyFont="1" applyFill="1" applyBorder="1" applyAlignment="1">
      <alignment wrapText="1"/>
    </xf>
    <xf numFmtId="165" fontId="3" fillId="0" borderId="10" xfId="3" applyNumberFormat="1" applyFont="1" applyFill="1" applyBorder="1" applyAlignment="1"/>
    <xf numFmtId="164" fontId="3" fillId="0" borderId="10" xfId="1" applyNumberFormat="1" applyFont="1" applyFill="1" applyBorder="1"/>
    <xf numFmtId="165" fontId="4" fillId="0" borderId="21" xfId="3" applyNumberFormat="1" applyFont="1" applyFill="1" applyBorder="1" applyAlignment="1">
      <alignment wrapText="1"/>
    </xf>
    <xf numFmtId="165" fontId="4" fillId="0" borderId="21" xfId="3" applyNumberFormat="1" applyFont="1" applyFill="1" applyBorder="1" applyAlignment="1"/>
    <xf numFmtId="164" fontId="4" fillId="0" borderId="21" xfId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wrapText="1"/>
    </xf>
    <xf numFmtId="165" fontId="4" fillId="0" borderId="10" xfId="3" applyNumberFormat="1" applyFont="1" applyFill="1" applyBorder="1" applyAlignment="1"/>
    <xf numFmtId="164" fontId="4" fillId="0" borderId="10" xfId="1" applyNumberFormat="1" applyFont="1" applyFill="1" applyBorder="1" applyAlignment="1">
      <alignment horizontal="left" indent="1"/>
    </xf>
    <xf numFmtId="165" fontId="4" fillId="0" borderId="7" xfId="3" applyNumberFormat="1" applyFont="1" applyFill="1" applyBorder="1" applyAlignment="1">
      <alignment wrapText="1"/>
    </xf>
    <xf numFmtId="165" fontId="4" fillId="0" borderId="7" xfId="3" applyNumberFormat="1" applyFont="1" applyFill="1" applyBorder="1" applyAlignment="1"/>
    <xf numFmtId="165" fontId="4" fillId="0" borderId="13" xfId="3" applyNumberFormat="1" applyFont="1" applyFill="1" applyBorder="1" applyAlignment="1">
      <alignment wrapText="1"/>
    </xf>
    <xf numFmtId="165" fontId="4" fillId="0" borderId="11" xfId="3" applyNumberFormat="1" applyFont="1" applyFill="1" applyBorder="1" applyAlignment="1">
      <alignment wrapText="1"/>
    </xf>
    <xf numFmtId="165" fontId="4" fillId="0" borderId="11" xfId="3" applyNumberFormat="1" applyFont="1" applyFill="1" applyBorder="1" applyAlignment="1"/>
    <xf numFmtId="164" fontId="4" fillId="0" borderId="11" xfId="1" applyNumberFormat="1" applyFont="1" applyFill="1" applyBorder="1" applyAlignment="1">
      <alignment horizontal="right"/>
    </xf>
    <xf numFmtId="165" fontId="3" fillId="0" borderId="7" xfId="3" applyNumberFormat="1" applyFont="1" applyFill="1" applyBorder="1" applyAlignment="1"/>
    <xf numFmtId="165" fontId="3" fillId="0" borderId="17" xfId="3" applyNumberFormat="1" applyFont="1" applyFill="1" applyBorder="1" applyAlignment="1">
      <alignment wrapText="1"/>
    </xf>
    <xf numFmtId="165" fontId="3" fillId="0" borderId="17" xfId="3" applyNumberFormat="1" applyFont="1" applyFill="1" applyBorder="1" applyAlignment="1"/>
    <xf numFmtId="165" fontId="4" fillId="0" borderId="7" xfId="3" applyNumberFormat="1" applyFont="1" applyBorder="1" applyAlignment="1">
      <alignment wrapText="1"/>
    </xf>
    <xf numFmtId="165" fontId="4" fillId="0" borderId="7" xfId="3" applyNumberFormat="1" applyFont="1" applyBorder="1" applyAlignment="1"/>
    <xf numFmtId="165" fontId="3" fillId="0" borderId="7" xfId="3" applyNumberFormat="1" applyFont="1" applyBorder="1" applyAlignment="1"/>
    <xf numFmtId="165" fontId="3" fillId="0" borderId="19" xfId="3" applyNumberFormat="1" applyFont="1" applyBorder="1" applyAlignment="1">
      <alignment wrapText="1"/>
    </xf>
    <xf numFmtId="165" fontId="3" fillId="0" borderId="17" xfId="3" applyNumberFormat="1" applyFont="1" applyBorder="1" applyAlignment="1">
      <alignment wrapText="1"/>
    </xf>
    <xf numFmtId="165" fontId="3" fillId="0" borderId="17" xfId="3" applyNumberFormat="1" applyFont="1" applyBorder="1" applyAlignment="1"/>
    <xf numFmtId="164" fontId="4" fillId="0" borderId="8" xfId="1" applyNumberFormat="1" applyFont="1" applyFill="1" applyBorder="1"/>
    <xf numFmtId="165" fontId="3" fillId="0" borderId="11" xfId="3" applyNumberFormat="1" applyFont="1" applyBorder="1" applyAlignment="1">
      <alignment wrapText="1"/>
    </xf>
    <xf numFmtId="165" fontId="3" fillId="0" borderId="11" xfId="3" applyNumberFormat="1" applyFont="1" applyBorder="1" applyAlignment="1"/>
    <xf numFmtId="164" fontId="4" fillId="0" borderId="25" xfId="1" applyNumberFormat="1" applyFont="1" applyFill="1" applyBorder="1" applyAlignment="1">
      <alignment horizontal="left" indent="1"/>
    </xf>
    <xf numFmtId="164" fontId="4" fillId="0" borderId="7" xfId="1" applyNumberFormat="1" applyFont="1" applyBorder="1" applyAlignment="1">
      <alignment wrapText="1"/>
    </xf>
    <xf numFmtId="164" fontId="4" fillId="0" borderId="7" xfId="1" applyNumberFormat="1" applyFont="1" applyBorder="1" applyAlignment="1"/>
    <xf numFmtId="164" fontId="4" fillId="0" borderId="4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3" fillId="0" borderId="7" xfId="1" applyNumberFormat="1" applyFont="1" applyBorder="1" applyAlignment="1"/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wrapText="1"/>
    </xf>
    <xf numFmtId="5" fontId="4" fillId="0" borderId="8" xfId="5" applyFont="1" applyBorder="1" applyAlignment="1"/>
    <xf numFmtId="5" fontId="4" fillId="0" borderId="7" xfId="5" applyFont="1" applyBorder="1" applyAlignment="1">
      <alignment wrapText="1"/>
    </xf>
    <xf numFmtId="5" fontId="4" fillId="0" borderId="0" xfId="5" applyFont="1" applyBorder="1" applyAlignment="1">
      <alignment wrapText="1"/>
    </xf>
    <xf numFmtId="5" fontId="4" fillId="0" borderId="8" xfId="5" applyFont="1" applyBorder="1" applyAlignment="1">
      <alignment wrapText="1"/>
    </xf>
    <xf numFmtId="5" fontId="3" fillId="0" borderId="12" xfId="5" applyFont="1" applyFill="1" applyBorder="1" applyAlignment="1"/>
    <xf numFmtId="5" fontId="3" fillId="0" borderId="11" xfId="5" applyFont="1" applyFill="1" applyBorder="1" applyAlignment="1"/>
    <xf numFmtId="5" fontId="3" fillId="0" borderId="13" xfId="5" applyFont="1" applyFill="1" applyBorder="1" applyAlignment="1"/>
    <xf numFmtId="5" fontId="4" fillId="0" borderId="8" xfId="5" applyFont="1" applyFill="1" applyBorder="1" applyAlignment="1"/>
    <xf numFmtId="5" fontId="4" fillId="0" borderId="7" xfId="5" applyFont="1" applyFill="1" applyBorder="1" applyAlignment="1">
      <alignment wrapText="1"/>
    </xf>
    <xf numFmtId="5" fontId="4" fillId="0" borderId="0" xfId="5" applyFont="1" applyFill="1" applyBorder="1" applyAlignment="1">
      <alignment wrapText="1"/>
    </xf>
    <xf numFmtId="5" fontId="4" fillId="0" borderId="8" xfId="5" applyFont="1" applyFill="1" applyBorder="1" applyAlignment="1">
      <alignment wrapText="1"/>
    </xf>
    <xf numFmtId="5" fontId="3" fillId="0" borderId="18" xfId="5" applyFont="1" applyFill="1" applyBorder="1" applyAlignment="1"/>
    <xf numFmtId="5" fontId="3" fillId="0" borderId="17" xfId="5" applyFont="1" applyFill="1" applyBorder="1" applyAlignment="1"/>
    <xf numFmtId="5" fontId="3" fillId="0" borderId="20" xfId="5" applyFont="1" applyFill="1" applyBorder="1" applyAlignment="1"/>
    <xf numFmtId="5" fontId="14" fillId="0" borderId="0" xfId="5" applyFont="1" applyFill="1"/>
    <xf numFmtId="5" fontId="3" fillId="0" borderId="8" xfId="5" applyFont="1" applyFill="1" applyBorder="1" applyAlignment="1"/>
    <xf numFmtId="5" fontId="4" fillId="0" borderId="42" xfId="5" applyFont="1" applyFill="1" applyBorder="1" applyAlignment="1">
      <alignment wrapText="1"/>
    </xf>
    <xf numFmtId="5" fontId="4" fillId="0" borderId="25" xfId="5" applyFont="1" applyFill="1" applyBorder="1" applyAlignment="1"/>
    <xf numFmtId="5" fontId="4" fillId="0" borderId="10" xfId="5" applyFont="1" applyFill="1" applyBorder="1" applyAlignment="1">
      <alignment wrapText="1"/>
    </xf>
    <xf numFmtId="5" fontId="4" fillId="0" borderId="19" xfId="5" applyFont="1" applyFill="1" applyBorder="1" applyAlignment="1">
      <alignment wrapText="1"/>
    </xf>
    <xf numFmtId="5" fontId="4" fillId="0" borderId="43" xfId="5" applyFont="1" applyFill="1" applyBorder="1" applyAlignment="1">
      <alignment wrapText="1"/>
    </xf>
    <xf numFmtId="164" fontId="4" fillId="0" borderId="44" xfId="1" applyNumberFormat="1" applyFont="1" applyFill="1" applyBorder="1" applyAlignment="1">
      <alignment horizontal="right"/>
    </xf>
    <xf numFmtId="5" fontId="3" fillId="0" borderId="22" xfId="5" applyFont="1" applyFill="1" applyBorder="1" applyAlignment="1"/>
    <xf numFmtId="5" fontId="3" fillId="0" borderId="21" xfId="5" applyFont="1" applyFill="1" applyBorder="1" applyAlignment="1"/>
    <xf numFmtId="5" fontId="3" fillId="0" borderId="23" xfId="5" applyFont="1" applyFill="1" applyBorder="1" applyAlignment="1"/>
    <xf numFmtId="164" fontId="3" fillId="0" borderId="45" xfId="1" applyNumberFormat="1" applyFont="1" applyFill="1" applyBorder="1"/>
    <xf numFmtId="5" fontId="3" fillId="0" borderId="24" xfId="5" applyFont="1" applyFill="1" applyBorder="1" applyAlignment="1"/>
    <xf numFmtId="5" fontId="3" fillId="0" borderId="25" xfId="5" applyFont="1" applyFill="1" applyBorder="1" applyAlignment="1"/>
    <xf numFmtId="164" fontId="3" fillId="0" borderId="7" xfId="0" applyNumberFormat="1" applyFont="1" applyFill="1" applyBorder="1" applyAlignment="1">
      <alignment horizontal="left"/>
    </xf>
    <xf numFmtId="5" fontId="4" fillId="0" borderId="46" xfId="5" applyFont="1" applyFill="1" applyBorder="1" applyAlignment="1">
      <alignment vertical="center"/>
    </xf>
    <xf numFmtId="5" fontId="4" fillId="0" borderId="8" xfId="5" applyFont="1" applyFill="1" applyBorder="1" applyAlignment="1">
      <alignment vertical="center"/>
    </xf>
    <xf numFmtId="5" fontId="4" fillId="0" borderId="7" xfId="5" applyFont="1" applyFill="1" applyBorder="1" applyAlignment="1">
      <alignment vertical="center"/>
    </xf>
    <xf numFmtId="5" fontId="4" fillId="0" borderId="0" xfId="5" applyFont="1" applyFill="1" applyBorder="1" applyAlignment="1">
      <alignment vertical="center"/>
    </xf>
    <xf numFmtId="5" fontId="4" fillId="0" borderId="47" xfId="5" applyFont="1" applyFill="1" applyBorder="1" applyAlignment="1"/>
    <xf numFmtId="164" fontId="4" fillId="0" borderId="48" xfId="1" applyNumberFormat="1" applyFont="1" applyFill="1" applyBorder="1"/>
    <xf numFmtId="5" fontId="4" fillId="0" borderId="49" xfId="5" applyFont="1" applyFill="1" applyBorder="1" applyAlignment="1"/>
    <xf numFmtId="5" fontId="4" fillId="0" borderId="38" xfId="5" applyFont="1" applyFill="1" applyBorder="1" applyAlignment="1"/>
    <xf numFmtId="5" fontId="4" fillId="0" borderId="5" xfId="5" applyFont="1" applyFill="1" applyBorder="1" applyAlignment="1"/>
    <xf numFmtId="5" fontId="4" fillId="0" borderId="36" xfId="5" applyFont="1" applyFill="1" applyBorder="1" applyAlignment="1"/>
    <xf numFmtId="0" fontId="4" fillId="0" borderId="0" xfId="1" applyNumberFormat="1" applyFont="1" applyAlignment="1">
      <alignment horizontal="centerContinuous"/>
    </xf>
    <xf numFmtId="165" fontId="4" fillId="0" borderId="0" xfId="1" applyNumberFormat="1" applyFont="1" applyAlignment="1">
      <alignment horizontal="centerContinuous"/>
    </xf>
    <xf numFmtId="5" fontId="2" fillId="0" borderId="0" xfId="1" applyNumberFormat="1" applyFont="1" applyAlignment="1">
      <alignment vertical="center" wrapText="1"/>
    </xf>
    <xf numFmtId="164" fontId="12" fillId="0" borderId="0" xfId="1" applyNumberFormat="1" applyFont="1" applyFill="1" applyAlignment="1">
      <alignment vertical="center" wrapText="1"/>
    </xf>
    <xf numFmtId="164" fontId="3" fillId="0" borderId="0" xfId="1" applyNumberFormat="1" applyFont="1" applyAlignment="1">
      <alignment horizontal="center" vertical="center"/>
    </xf>
    <xf numFmtId="164" fontId="3" fillId="0" borderId="7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164" fontId="4" fillId="0" borderId="41" xfId="1" applyNumberFormat="1" applyFont="1" applyBorder="1" applyAlignment="1">
      <alignment vertical="center" wrapText="1"/>
    </xf>
    <xf numFmtId="164" fontId="4" fillId="0" borderId="9" xfId="1" applyNumberFormat="1" applyFont="1" applyBorder="1" applyAlignment="1">
      <alignment vertical="center" wrapText="1"/>
    </xf>
    <xf numFmtId="10" fontId="4" fillId="0" borderId="0" xfId="4" applyNumberFormat="1" applyFont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horizontal="left" vertical="center"/>
    </xf>
    <xf numFmtId="165" fontId="4" fillId="0" borderId="7" xfId="3" applyNumberFormat="1" applyFont="1" applyBorder="1" applyAlignment="1">
      <alignment vertical="center"/>
    </xf>
    <xf numFmtId="165" fontId="4" fillId="0" borderId="0" xfId="3" applyNumberFormat="1" applyFont="1" applyBorder="1" applyAlignment="1">
      <alignment vertical="center"/>
    </xf>
    <xf numFmtId="165" fontId="4" fillId="0" borderId="42" xfId="3" applyNumberFormat="1" applyFont="1" applyBorder="1" applyAlignment="1">
      <alignment vertical="center"/>
    </xf>
    <xf numFmtId="165" fontId="4" fillId="0" borderId="8" xfId="3" applyNumberFormat="1" applyFont="1" applyFill="1" applyBorder="1" applyAlignment="1">
      <alignment vertical="center" wrapText="1"/>
    </xf>
    <xf numFmtId="167" fontId="4" fillId="0" borderId="0" xfId="1" applyNumberFormat="1" applyFont="1" applyAlignment="1">
      <alignment vertical="center"/>
    </xf>
    <xf numFmtId="164" fontId="4" fillId="0" borderId="7" xfId="1" applyNumberFormat="1" applyFont="1" applyFill="1" applyBorder="1" applyAlignment="1">
      <alignment horizontal="left" vertical="center"/>
    </xf>
    <xf numFmtId="164" fontId="4" fillId="0" borderId="25" xfId="1" applyNumberFormat="1" applyFont="1" applyFill="1" applyBorder="1" applyAlignment="1">
      <alignment horizontal="left" vertical="center"/>
    </xf>
    <xf numFmtId="164" fontId="3" fillId="0" borderId="11" xfId="1" applyNumberFormat="1" applyFont="1" applyBorder="1" applyAlignment="1">
      <alignment horizontal="right" vertical="center"/>
    </xf>
    <xf numFmtId="165" fontId="3" fillId="0" borderId="11" xfId="3" applyNumberFormat="1" applyFont="1" applyBorder="1" applyAlignment="1">
      <alignment vertical="center"/>
    </xf>
    <xf numFmtId="165" fontId="3" fillId="0" borderId="11" xfId="3" applyNumberFormat="1" applyFont="1" applyBorder="1" applyAlignment="1">
      <alignment vertical="center" wrapText="1"/>
    </xf>
    <xf numFmtId="165" fontId="3" fillId="0" borderId="13" xfId="3" applyNumberFormat="1" applyFont="1" applyBorder="1" applyAlignment="1">
      <alignment vertical="center" wrapText="1"/>
    </xf>
    <xf numFmtId="165" fontId="3" fillId="0" borderId="12" xfId="3" applyNumberFormat="1" applyFont="1" applyFill="1" applyBorder="1" applyAlignment="1">
      <alignment vertical="center" wrapText="1"/>
    </xf>
    <xf numFmtId="164" fontId="3" fillId="0" borderId="0" xfId="1" applyNumberFormat="1" applyFont="1" applyAlignment="1">
      <alignment vertical="center"/>
    </xf>
    <xf numFmtId="165" fontId="4" fillId="0" borderId="7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horizontal="left" vertical="center"/>
    </xf>
    <xf numFmtId="164" fontId="3" fillId="0" borderId="11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14" xfId="1" applyNumberFormat="1" applyFont="1" applyFill="1" applyBorder="1" applyAlignment="1">
      <alignment horizontal="left" vertical="center"/>
    </xf>
    <xf numFmtId="165" fontId="4" fillId="0" borderId="15" xfId="3" applyNumberFormat="1" applyFont="1" applyFill="1" applyBorder="1" applyAlignment="1">
      <alignment vertical="center" wrapText="1"/>
    </xf>
    <xf numFmtId="164" fontId="3" fillId="0" borderId="17" xfId="1" applyNumberFormat="1" applyFont="1" applyFill="1" applyBorder="1" applyAlignment="1">
      <alignment vertical="center"/>
    </xf>
    <xf numFmtId="165" fontId="3" fillId="0" borderId="17" xfId="3" applyNumberFormat="1" applyFont="1" applyBorder="1" applyAlignment="1">
      <alignment vertical="center"/>
    </xf>
    <xf numFmtId="165" fontId="3" fillId="0" borderId="17" xfId="3" applyNumberFormat="1" applyFont="1" applyBorder="1" applyAlignment="1">
      <alignment vertical="center" wrapText="1"/>
    </xf>
    <xf numFmtId="165" fontId="3" fillId="0" borderId="19" xfId="3" applyNumberFormat="1" applyFont="1" applyBorder="1" applyAlignment="1">
      <alignment vertical="center" wrapText="1"/>
    </xf>
    <xf numFmtId="165" fontId="3" fillId="0" borderId="20" xfId="3" applyNumberFormat="1" applyFont="1" applyBorder="1" applyAlignment="1">
      <alignment vertical="center" wrapText="1"/>
    </xf>
    <xf numFmtId="165" fontId="3" fillId="0" borderId="18" xfId="3" applyNumberFormat="1" applyFont="1" applyBorder="1" applyAlignment="1">
      <alignment vertical="center" wrapText="1"/>
    </xf>
    <xf numFmtId="165" fontId="4" fillId="0" borderId="7" xfId="3" applyNumberFormat="1" applyFont="1" applyBorder="1" applyAlignment="1">
      <alignment vertical="center" wrapText="1"/>
    </xf>
    <xf numFmtId="165" fontId="4" fillId="0" borderId="0" xfId="3" applyNumberFormat="1" applyFont="1" applyBorder="1" applyAlignment="1">
      <alignment vertical="center" wrapText="1"/>
    </xf>
    <xf numFmtId="165" fontId="4" fillId="0" borderId="8" xfId="3" applyNumberFormat="1" applyFont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/>
    </xf>
    <xf numFmtId="165" fontId="3" fillId="0" borderId="7" xfId="3" applyNumberFormat="1" applyFont="1" applyBorder="1" applyAlignment="1">
      <alignment vertical="center"/>
    </xf>
    <xf numFmtId="165" fontId="4" fillId="0" borderId="7" xfId="3" applyNumberFormat="1" applyFont="1" applyFill="1" applyBorder="1" applyAlignment="1">
      <alignment vertical="center"/>
    </xf>
    <xf numFmtId="165" fontId="4" fillId="0" borderId="50" xfId="3" applyNumberFormat="1" applyFont="1" applyBorder="1" applyAlignment="1">
      <alignment vertical="center" wrapText="1"/>
    </xf>
    <xf numFmtId="165" fontId="3" fillId="0" borderId="17" xfId="3" applyNumberFormat="1" applyFont="1" applyFill="1" applyBorder="1" applyAlignment="1">
      <alignment vertical="center"/>
    </xf>
    <xf numFmtId="165" fontId="3" fillId="0" borderId="17" xfId="3" applyNumberFormat="1" applyFont="1" applyFill="1" applyBorder="1" applyAlignment="1">
      <alignment vertical="center" wrapText="1"/>
    </xf>
    <xf numFmtId="165" fontId="3" fillId="0" borderId="19" xfId="3" applyNumberFormat="1" applyFont="1" applyFill="1" applyBorder="1" applyAlignment="1">
      <alignment vertical="center" wrapText="1"/>
    </xf>
    <xf numFmtId="165" fontId="3" fillId="0" borderId="20" xfId="3" applyNumberFormat="1" applyFont="1" applyFill="1" applyBorder="1" applyAlignment="1">
      <alignment vertical="center" wrapText="1"/>
    </xf>
    <xf numFmtId="165" fontId="3" fillId="0" borderId="7" xfId="3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horizontal="left" vertical="center"/>
    </xf>
    <xf numFmtId="165" fontId="4" fillId="0" borderId="19" xfId="3" applyNumberFormat="1" applyFont="1" applyFill="1" applyBorder="1" applyAlignment="1">
      <alignment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5" fontId="4" fillId="0" borderId="11" xfId="3" applyNumberFormat="1" applyFont="1" applyFill="1" applyBorder="1" applyAlignment="1">
      <alignment vertical="center"/>
    </xf>
    <xf numFmtId="165" fontId="4" fillId="0" borderId="11" xfId="3" applyNumberFormat="1" applyFont="1" applyFill="1" applyBorder="1" applyAlignment="1">
      <alignment vertical="center" wrapText="1"/>
    </xf>
    <xf numFmtId="165" fontId="4" fillId="0" borderId="13" xfId="3" applyNumberFormat="1" applyFont="1" applyFill="1" applyBorder="1" applyAlignment="1">
      <alignment vertical="center" wrapText="1"/>
    </xf>
    <xf numFmtId="165" fontId="4" fillId="0" borderId="12" xfId="3" applyNumberFormat="1" applyFont="1" applyBorder="1" applyAlignment="1">
      <alignment vertical="center" wrapText="1"/>
    </xf>
    <xf numFmtId="164" fontId="4" fillId="0" borderId="21" xfId="1" applyNumberFormat="1" applyFont="1" applyFill="1" applyBorder="1" applyAlignment="1">
      <alignment horizontal="right" vertical="center"/>
    </xf>
    <xf numFmtId="165" fontId="4" fillId="0" borderId="21" xfId="3" applyNumberFormat="1" applyFont="1" applyFill="1" applyBorder="1" applyAlignment="1">
      <alignment vertical="center"/>
    </xf>
    <xf numFmtId="165" fontId="4" fillId="0" borderId="21" xfId="3" applyNumberFormat="1" applyFont="1" applyFill="1" applyBorder="1" applyAlignment="1">
      <alignment vertical="center" wrapText="1"/>
    </xf>
    <xf numFmtId="165" fontId="4" fillId="0" borderId="14" xfId="3" applyNumberFormat="1" applyFont="1" applyFill="1" applyBorder="1" applyAlignment="1">
      <alignment vertical="center" wrapText="1"/>
    </xf>
    <xf numFmtId="165" fontId="4" fillId="0" borderId="22" xfId="3" applyNumberFormat="1" applyFont="1" applyBorder="1" applyAlignment="1">
      <alignment vertical="center" wrapText="1"/>
    </xf>
    <xf numFmtId="164" fontId="3" fillId="0" borderId="10" xfId="1" applyNumberFormat="1" applyFont="1" applyFill="1" applyBorder="1" applyAlignment="1">
      <alignment vertical="center"/>
    </xf>
    <xf numFmtId="165" fontId="3" fillId="0" borderId="10" xfId="3" applyNumberFormat="1" applyFont="1" applyFill="1" applyBorder="1" applyAlignment="1">
      <alignment vertical="center"/>
    </xf>
    <xf numFmtId="165" fontId="3" fillId="0" borderId="10" xfId="3" applyNumberFormat="1" applyFont="1" applyFill="1" applyBorder="1" applyAlignment="1">
      <alignment vertical="center" wrapText="1"/>
    </xf>
    <xf numFmtId="165" fontId="3" fillId="0" borderId="40" xfId="3" applyNumberFormat="1" applyFont="1" applyFill="1" applyBorder="1" applyAlignment="1">
      <alignment vertical="center" wrapText="1"/>
    </xf>
    <xf numFmtId="164" fontId="4" fillId="0" borderId="5" xfId="1" applyNumberFormat="1" applyFont="1" applyBorder="1" applyAlignment="1">
      <alignment vertical="center"/>
    </xf>
    <xf numFmtId="165" fontId="4" fillId="0" borderId="5" xfId="3" applyNumberFormat="1" applyFont="1" applyFill="1" applyBorder="1" applyAlignment="1">
      <alignment vertical="center"/>
    </xf>
    <xf numFmtId="165" fontId="4" fillId="0" borderId="5" xfId="3" applyNumberFormat="1" applyFont="1" applyBorder="1" applyAlignment="1">
      <alignment vertical="center" wrapText="1"/>
    </xf>
    <xf numFmtId="165" fontId="4" fillId="0" borderId="5" xfId="3" applyNumberFormat="1" applyFont="1" applyFill="1" applyBorder="1" applyAlignment="1">
      <alignment vertical="center" wrapText="1"/>
    </xf>
    <xf numFmtId="165" fontId="4" fillId="0" borderId="39" xfId="3" applyNumberFormat="1" applyFont="1" applyBorder="1" applyAlignment="1">
      <alignment vertical="center" wrapText="1"/>
    </xf>
    <xf numFmtId="165" fontId="4" fillId="0" borderId="36" xfId="3" applyNumberFormat="1" applyFont="1" applyBorder="1" applyAlignment="1">
      <alignment vertical="center" wrapText="1"/>
    </xf>
    <xf numFmtId="165" fontId="4" fillId="0" borderId="38" xfId="3" applyNumberFormat="1" applyFont="1" applyBorder="1" applyAlignment="1">
      <alignment vertical="center" wrapText="1"/>
    </xf>
    <xf numFmtId="5" fontId="4" fillId="0" borderId="15" xfId="3" applyNumberFormat="1" applyFont="1" applyFill="1" applyBorder="1" applyAlignment="1">
      <alignment vertical="center" wrapText="1"/>
    </xf>
    <xf numFmtId="165" fontId="4" fillId="0" borderId="10" xfId="3" applyNumberFormat="1" applyFont="1" applyFill="1" applyBorder="1" applyAlignment="1">
      <alignment vertical="center" wrapText="1"/>
    </xf>
    <xf numFmtId="5" fontId="4" fillId="0" borderId="19" xfId="3" applyNumberFormat="1" applyFont="1" applyFill="1" applyBorder="1" applyAlignment="1">
      <alignment vertical="center" wrapText="1"/>
    </xf>
    <xf numFmtId="5" fontId="4" fillId="0" borderId="43" xfId="3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left" indent="1"/>
    </xf>
    <xf numFmtId="165" fontId="4" fillId="0" borderId="8" xfId="0" applyNumberFormat="1" applyFont="1" applyFill="1" applyBorder="1" applyAlignment="1"/>
    <xf numFmtId="165" fontId="4" fillId="0" borderId="7" xfId="0" applyNumberFormat="1" applyFont="1" applyFill="1" applyBorder="1" applyAlignment="1">
      <alignment wrapText="1"/>
    </xf>
    <xf numFmtId="165" fontId="4" fillId="0" borderId="3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165" fontId="4" fillId="0" borderId="8" xfId="0" applyNumberFormat="1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right"/>
    </xf>
    <xf numFmtId="165" fontId="3" fillId="0" borderId="12" xfId="0" applyNumberFormat="1" applyFont="1" applyFill="1" applyBorder="1" applyAlignment="1"/>
    <xf numFmtId="165" fontId="3" fillId="0" borderId="11" xfId="0" applyNumberFormat="1" applyFont="1" applyFill="1" applyBorder="1" applyAlignment="1"/>
    <xf numFmtId="165" fontId="3" fillId="0" borderId="31" xfId="0" applyNumberFormat="1" applyFont="1" applyFill="1" applyBorder="1" applyAlignment="1"/>
    <xf numFmtId="165" fontId="3" fillId="0" borderId="13" xfId="0" applyNumberFormat="1" applyFont="1" applyFill="1" applyBorder="1" applyAlignment="1"/>
    <xf numFmtId="164" fontId="4" fillId="0" borderId="7" xfId="0" applyNumberFormat="1" applyFont="1" applyFill="1" applyBorder="1"/>
    <xf numFmtId="164" fontId="4" fillId="0" borderId="7" xfId="0" applyNumberFormat="1" applyFont="1" applyFill="1" applyBorder="1" applyAlignment="1">
      <alignment horizontal="left" indent="1"/>
    </xf>
    <xf numFmtId="164" fontId="4" fillId="0" borderId="14" xfId="0" applyNumberFormat="1" applyFont="1" applyFill="1" applyBorder="1" applyAlignment="1">
      <alignment horizontal="left" indent="1"/>
    </xf>
    <xf numFmtId="164" fontId="3" fillId="0" borderId="17" xfId="0" applyNumberFormat="1" applyFont="1" applyFill="1" applyBorder="1"/>
    <xf numFmtId="165" fontId="3" fillId="0" borderId="18" xfId="0" applyNumberFormat="1" applyFont="1" applyFill="1" applyBorder="1" applyAlignment="1"/>
    <xf numFmtId="165" fontId="3" fillId="0" borderId="17" xfId="0" applyNumberFormat="1" applyFont="1" applyFill="1" applyBorder="1" applyAlignment="1"/>
    <xf numFmtId="165" fontId="3" fillId="0" borderId="32" xfId="0" applyNumberFormat="1" applyFont="1" applyFill="1" applyBorder="1" applyAlignment="1"/>
    <xf numFmtId="165" fontId="3" fillId="0" borderId="20" xfId="0" applyNumberFormat="1" applyFont="1" applyFill="1" applyBorder="1" applyAlignment="1"/>
    <xf numFmtId="164" fontId="3" fillId="0" borderId="7" xfId="0" applyNumberFormat="1" applyFont="1" applyFill="1" applyBorder="1"/>
    <xf numFmtId="165" fontId="3" fillId="0" borderId="8" xfId="0" applyNumberFormat="1" applyFont="1" applyFill="1" applyBorder="1" applyAlignment="1"/>
    <xf numFmtId="164" fontId="4" fillId="0" borderId="21" xfId="0" applyNumberFormat="1" applyFont="1" applyFill="1" applyBorder="1" applyAlignment="1">
      <alignment horizontal="right"/>
    </xf>
    <xf numFmtId="165" fontId="3" fillId="0" borderId="22" xfId="0" applyNumberFormat="1" applyFont="1" applyFill="1" applyBorder="1" applyAlignment="1"/>
    <xf numFmtId="165" fontId="3" fillId="0" borderId="21" xfId="0" applyNumberFormat="1" applyFont="1" applyFill="1" applyBorder="1" applyAlignment="1"/>
    <xf numFmtId="165" fontId="3" fillId="0" borderId="33" xfId="0" applyNumberFormat="1" applyFont="1" applyFill="1" applyBorder="1" applyAlignment="1"/>
    <xf numFmtId="165" fontId="3" fillId="0" borderId="23" xfId="0" applyNumberFormat="1" applyFont="1" applyFill="1" applyBorder="1" applyAlignment="1"/>
    <xf numFmtId="164" fontId="3" fillId="0" borderId="10" xfId="0" applyNumberFormat="1" applyFont="1" applyFill="1" applyBorder="1"/>
    <xf numFmtId="165" fontId="3" fillId="0" borderId="25" xfId="0" applyNumberFormat="1" applyFont="1" applyFill="1" applyBorder="1" applyAlignment="1"/>
    <xf numFmtId="165" fontId="3" fillId="0" borderId="10" xfId="0" applyNumberFormat="1" applyFont="1" applyFill="1" applyBorder="1" applyAlignment="1"/>
    <xf numFmtId="165" fontId="3" fillId="0" borderId="34" xfId="0" applyNumberFormat="1" applyFont="1" applyFill="1" applyBorder="1" applyAlignment="1"/>
    <xf numFmtId="165" fontId="3" fillId="0" borderId="19" xfId="0" applyNumberFormat="1" applyFont="1" applyFill="1" applyBorder="1" applyAlignment="1"/>
    <xf numFmtId="16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/>
    <xf numFmtId="165" fontId="3" fillId="0" borderId="30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4" fillId="0" borderId="0" xfId="3" applyNumberFormat="1" applyFont="1" applyFill="1" applyBorder="1" applyAlignment="1">
      <alignment vertical="center"/>
    </xf>
    <xf numFmtId="165" fontId="4" fillId="0" borderId="8" xfId="3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 wrapText="1"/>
    </xf>
    <xf numFmtId="165" fontId="4" fillId="0" borderId="25" xfId="0" applyNumberFormat="1" applyFont="1" applyFill="1" applyBorder="1" applyAlignment="1"/>
    <xf numFmtId="165" fontId="4" fillId="0" borderId="10" xfId="3" applyNumberFormat="1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wrapText="1"/>
    </xf>
    <xf numFmtId="165" fontId="4" fillId="0" borderId="19" xfId="3" applyNumberFormat="1" applyFont="1" applyFill="1" applyBorder="1" applyAlignment="1">
      <alignment vertical="center"/>
    </xf>
    <xf numFmtId="165" fontId="4" fillId="0" borderId="25" xfId="3" applyNumberFormat="1" applyFont="1" applyFill="1" applyBorder="1" applyAlignment="1">
      <alignment vertical="center"/>
    </xf>
    <xf numFmtId="164" fontId="4" fillId="0" borderId="5" xfId="0" applyNumberFormat="1" applyFont="1" applyFill="1" applyBorder="1"/>
    <xf numFmtId="165" fontId="4" fillId="0" borderId="35" xfId="3" applyNumberFormat="1" applyFont="1" applyFill="1" applyBorder="1" applyAlignment="1"/>
    <xf numFmtId="165" fontId="4" fillId="0" borderId="36" xfId="3" applyNumberFormat="1" applyFont="1" applyFill="1" applyBorder="1" applyAlignment="1"/>
    <xf numFmtId="165" fontId="4" fillId="0" borderId="37" xfId="3" applyNumberFormat="1" applyFont="1" applyFill="1" applyBorder="1" applyAlignment="1"/>
    <xf numFmtId="164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horizontal="left" indent="1"/>
    </xf>
    <xf numFmtId="164" fontId="12" fillId="0" borderId="0" xfId="1" applyNumberFormat="1" applyFont="1" applyFill="1" applyAlignment="1">
      <alignment horizontal="left" vertical="center" wrapText="1" indent="1"/>
    </xf>
    <xf numFmtId="164" fontId="2" fillId="0" borderId="0" xfId="1" applyNumberFormat="1" applyFont="1" applyFill="1" applyAlignment="1">
      <alignment horizontal="left" vertical="center" inden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 indent="1"/>
    </xf>
    <xf numFmtId="0" fontId="2" fillId="0" borderId="0" xfId="1" applyFont="1" applyFill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 wrapText="1"/>
    </xf>
    <xf numFmtId="164" fontId="3" fillId="2" borderId="4" xfId="1" applyNumberFormat="1" applyFont="1" applyFill="1" applyBorder="1" applyAlignment="1">
      <alignment horizontal="center" wrapText="1"/>
    </xf>
    <xf numFmtId="164" fontId="3" fillId="2" borderId="3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Alignment="1">
      <alignment horizontal="left" vertical="center" wrapText="1" inden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164" fontId="13" fillId="0" borderId="0" xfId="1" applyNumberFormat="1" applyFont="1" applyFill="1" applyAlignment="1">
      <alignment horizontal="left" vertical="center" indent="1"/>
    </xf>
    <xf numFmtId="0" fontId="13" fillId="0" borderId="0" xfId="1" applyFont="1" applyAlignment="1">
      <alignment horizontal="left" vertical="center" wrapText="1" indent="1"/>
    </xf>
  </cellXfs>
  <cellStyles count="9">
    <cellStyle name="Comma 2" xfId="2"/>
    <cellStyle name="Currency 2" xfId="5"/>
    <cellStyle name="Currency 2 2" xfId="3"/>
    <cellStyle name="Currency 2 3" xfId="8"/>
    <cellStyle name="Normal" xfId="0" builtinId="0"/>
    <cellStyle name="Normal 2" xfId="1"/>
    <cellStyle name="Normal 4" xfId="7"/>
    <cellStyle name="Percent 2" xfId="4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and%20Finance/Budget%20Office/CU%20Budget/FY%202023/June%20Budget/Copy%20of%20FY%202022-23%20Denver%20Budget%20Tables%20Submitted%205.27.2022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and%20Finance/Budget%20Office/CU%20Budget/FY%202023/June%20Budget/FY%202022-23%20UCCS%20Budget%20tables%20SYSTEM%20COPY%205%2023%202022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B (Denver) (2)"/>
      <sheetName val="Table A (Denver)"/>
      <sheetName val="Sheet1"/>
      <sheetName val="Table B (Denver)"/>
      <sheetName val="Table C (Denver)"/>
      <sheetName val="Table D, E Denver"/>
      <sheetName val="Table F"/>
      <sheetName val="Enrollment"/>
    </sheetNames>
    <sheetDataSet>
      <sheetData sheetId="0"/>
      <sheetData sheetId="1">
        <row r="53">
          <cell r="D53">
            <v>259735245</v>
          </cell>
        </row>
      </sheetData>
      <sheetData sheetId="2"/>
      <sheetData sheetId="3">
        <row r="9">
          <cell r="C9">
            <v>20019891</v>
          </cell>
        </row>
        <row r="10">
          <cell r="C10">
            <v>105843269</v>
          </cell>
        </row>
        <row r="11">
          <cell r="C11">
            <v>50332249</v>
          </cell>
        </row>
        <row r="13">
          <cell r="C13">
            <v>23176171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 (UCCS)"/>
      <sheetName val="Sheet1"/>
      <sheetName val="Table A GF"/>
      <sheetName val="Table A AUX"/>
      <sheetName val="Table A GK"/>
      <sheetName val="Table A SR"/>
      <sheetName val="Table A JR"/>
      <sheetName val="Table B (UCCS) (for PPT)"/>
      <sheetName val="Table B (UCCS)"/>
      <sheetName val="Table B (2021-22) "/>
      <sheetName val="Table C"/>
      <sheetName val="Table C MH"/>
      <sheetName val="Table C GG"/>
      <sheetName val="Tables D and E (2)"/>
      <sheetName val="Tables D and E"/>
      <sheetName val="Table F"/>
      <sheetName val="enrollment"/>
      <sheetName val="enrollment (2)"/>
      <sheetName val="enrollment (3)"/>
      <sheetName val="for Tuit Model"/>
      <sheetName val="for Tuit Model (2)"/>
      <sheetName val="for Tuit Model (3)"/>
      <sheetName val="Sheet2"/>
      <sheetName val="5yr Plan"/>
    </sheetNames>
    <sheetDataSet>
      <sheetData sheetId="0"/>
      <sheetData sheetId="1"/>
      <sheetData sheetId="2">
        <row r="9">
          <cell r="C9">
            <v>18659213</v>
          </cell>
          <cell r="D9">
            <v>21104538</v>
          </cell>
        </row>
        <row r="10">
          <cell r="C10">
            <v>86520961</v>
          </cell>
          <cell r="D10">
            <v>88758490</v>
          </cell>
        </row>
        <row r="11">
          <cell r="C11">
            <v>30608992</v>
          </cell>
          <cell r="D11">
            <v>31076521</v>
          </cell>
        </row>
        <row r="12">
          <cell r="C12">
            <v>0</v>
          </cell>
          <cell r="D12"/>
        </row>
        <row r="13">
          <cell r="C13">
            <v>7132402</v>
          </cell>
          <cell r="D13">
            <v>4624324</v>
          </cell>
        </row>
        <row r="17">
          <cell r="C17"/>
          <cell r="D17"/>
        </row>
        <row r="18">
          <cell r="C18"/>
          <cell r="D18"/>
        </row>
        <row r="19">
          <cell r="C19">
            <v>18683780</v>
          </cell>
          <cell r="D19">
            <v>22357013</v>
          </cell>
        </row>
        <row r="20">
          <cell r="C20"/>
          <cell r="D20"/>
        </row>
        <row r="21">
          <cell r="C21"/>
          <cell r="D21"/>
        </row>
        <row r="22">
          <cell r="C22"/>
          <cell r="D22"/>
        </row>
        <row r="24">
          <cell r="C24"/>
          <cell r="D24"/>
        </row>
        <row r="25">
          <cell r="C25">
            <v>903.23999999999978</v>
          </cell>
          <cell r="D25"/>
        </row>
        <row r="26">
          <cell r="C26"/>
          <cell r="D26"/>
        </row>
        <row r="27">
          <cell r="C27"/>
          <cell r="D27"/>
        </row>
        <row r="28">
          <cell r="C28"/>
          <cell r="D28"/>
        </row>
        <row r="29">
          <cell r="C29">
            <v>2108490</v>
          </cell>
          <cell r="D29">
            <v>1134602</v>
          </cell>
        </row>
        <row r="30">
          <cell r="C30"/>
          <cell r="D30"/>
        </row>
        <row r="31">
          <cell r="C31">
            <v>2357426</v>
          </cell>
          <cell r="D31">
            <v>2478676</v>
          </cell>
        </row>
        <row r="36">
          <cell r="C36">
            <v>74925871.739999995</v>
          </cell>
          <cell r="D36">
            <v>80431449.382075995</v>
          </cell>
        </row>
        <row r="37">
          <cell r="C37">
            <v>1315576</v>
          </cell>
          <cell r="D37">
            <v>390838.29219934298</v>
          </cell>
        </row>
        <row r="38">
          <cell r="C38">
            <v>187868</v>
          </cell>
          <cell r="D38">
            <v>65369.653970019601</v>
          </cell>
        </row>
        <row r="39">
          <cell r="C39">
            <v>21421805</v>
          </cell>
          <cell r="D39">
            <v>26336223.3179405</v>
          </cell>
        </row>
        <row r="40">
          <cell r="C40">
            <v>12350358</v>
          </cell>
          <cell r="D40">
            <v>13573393.0787878</v>
          </cell>
        </row>
        <row r="41">
          <cell r="C41">
            <v>25223224</v>
          </cell>
          <cell r="D41">
            <v>24787072.361171</v>
          </cell>
        </row>
        <row r="42">
          <cell r="C42">
            <v>11330606</v>
          </cell>
          <cell r="D42">
            <v>12704153.9138554</v>
          </cell>
        </row>
        <row r="43">
          <cell r="C43">
            <v>14323723</v>
          </cell>
          <cell r="D43">
            <v>18221525</v>
          </cell>
        </row>
        <row r="44">
          <cell r="D44"/>
        </row>
        <row r="45">
          <cell r="C45"/>
          <cell r="D45"/>
        </row>
        <row r="46">
          <cell r="C46"/>
          <cell r="D46"/>
        </row>
        <row r="47">
          <cell r="C47"/>
          <cell r="D47"/>
        </row>
        <row r="48">
          <cell r="C48"/>
          <cell r="D48"/>
        </row>
        <row r="49">
          <cell r="C49"/>
          <cell r="D49"/>
        </row>
        <row r="54">
          <cell r="C54">
            <v>4257286</v>
          </cell>
          <cell r="D54">
            <v>4482386</v>
          </cell>
        </row>
        <row r="60">
          <cell r="C60"/>
          <cell r="D60"/>
        </row>
        <row r="61">
          <cell r="C61">
            <v>735849.6</v>
          </cell>
          <cell r="D61">
            <v>-9458247</v>
          </cell>
        </row>
      </sheetData>
      <sheetData sheetId="3">
        <row r="9">
          <cell r="E9"/>
        </row>
        <row r="10">
          <cell r="E10"/>
        </row>
        <row r="11">
          <cell r="E11"/>
        </row>
        <row r="12">
          <cell r="C12">
            <v>2727031.32</v>
          </cell>
          <cell r="E12">
            <v>2389573</v>
          </cell>
        </row>
        <row r="13">
          <cell r="C13">
            <v>15393864.7575</v>
          </cell>
          <cell r="E13">
            <v>14473009</v>
          </cell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4">
          <cell r="C24"/>
          <cell r="E24"/>
        </row>
        <row r="25">
          <cell r="C25">
            <v>212193.36</v>
          </cell>
          <cell r="E25">
            <v>494200</v>
          </cell>
        </row>
        <row r="26">
          <cell r="C26">
            <v>26166817.469999999</v>
          </cell>
          <cell r="E26">
            <v>31707946</v>
          </cell>
        </row>
        <row r="27">
          <cell r="C27">
            <v>2185141.2200000002</v>
          </cell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E30"/>
        </row>
        <row r="31">
          <cell r="C31">
            <v>31078128.98</v>
          </cell>
          <cell r="E31">
            <v>37023756</v>
          </cell>
        </row>
        <row r="36">
          <cell r="C36">
            <v>2322887.1470999997</v>
          </cell>
          <cell r="E36">
            <v>2334822</v>
          </cell>
        </row>
        <row r="37">
          <cell r="C37">
            <v>17370.568800000001</v>
          </cell>
          <cell r="E37">
            <v>4949</v>
          </cell>
        </row>
        <row r="38">
          <cell r="C38">
            <v>427035.46860000002</v>
          </cell>
          <cell r="E38">
            <v>589332</v>
          </cell>
        </row>
        <row r="39">
          <cell r="C39">
            <v>552040.79579999996</v>
          </cell>
          <cell r="E39">
            <v>661392</v>
          </cell>
        </row>
        <row r="40">
          <cell r="C40">
            <v>2151856.9682999998</v>
          </cell>
          <cell r="E40">
            <v>2915099</v>
          </cell>
        </row>
        <row r="41">
          <cell r="C41">
            <v>2746411.2935999995</v>
          </cell>
          <cell r="E41">
            <v>2846803</v>
          </cell>
        </row>
        <row r="42">
          <cell r="C42">
            <v>257595.77609999999</v>
          </cell>
          <cell r="E42">
            <v>341153</v>
          </cell>
        </row>
        <row r="43">
          <cell r="C43">
            <v>12343.5</v>
          </cell>
          <cell r="E43">
            <v>17800</v>
          </cell>
        </row>
        <row r="44">
          <cell r="C44">
            <v>23314550.301899996</v>
          </cell>
          <cell r="E44">
            <v>26697235</v>
          </cell>
        </row>
        <row r="45">
          <cell r="C45">
            <v>2208909.0933000003</v>
          </cell>
          <cell r="E45">
            <v>2293507</v>
          </cell>
        </row>
        <row r="46">
          <cell r="C46">
            <v>37222637.1426</v>
          </cell>
          <cell r="E46">
            <v>34642802.68</v>
          </cell>
        </row>
        <row r="47">
          <cell r="C47"/>
          <cell r="E47"/>
        </row>
        <row r="48">
          <cell r="C48"/>
          <cell r="E48"/>
        </row>
        <row r="49">
          <cell r="C49"/>
          <cell r="E49"/>
        </row>
        <row r="54">
          <cell r="C54">
            <v>10531691</v>
          </cell>
          <cell r="E54">
            <v>11466888</v>
          </cell>
        </row>
        <row r="60">
          <cell r="C60"/>
          <cell r="E60"/>
        </row>
        <row r="61">
          <cell r="C61">
            <v>-4002151.58</v>
          </cell>
          <cell r="E61">
            <v>1276701</v>
          </cell>
        </row>
      </sheetData>
      <sheetData sheetId="4">
        <row r="17">
          <cell r="C17"/>
          <cell r="F17"/>
        </row>
        <row r="18">
          <cell r="C18"/>
          <cell r="F18"/>
        </row>
        <row r="19">
          <cell r="C19"/>
          <cell r="F19"/>
        </row>
        <row r="20">
          <cell r="C20"/>
          <cell r="F20"/>
        </row>
        <row r="21">
          <cell r="C21"/>
          <cell r="F21"/>
        </row>
        <row r="22">
          <cell r="C22"/>
          <cell r="F22"/>
        </row>
        <row r="24">
          <cell r="C24">
            <v>8645639</v>
          </cell>
          <cell r="F24">
            <v>14707235</v>
          </cell>
        </row>
        <row r="25">
          <cell r="C25"/>
          <cell r="F25"/>
        </row>
        <row r="26">
          <cell r="C26"/>
          <cell r="F26"/>
        </row>
        <row r="27">
          <cell r="C27"/>
          <cell r="F27"/>
        </row>
        <row r="28">
          <cell r="C28"/>
          <cell r="F28"/>
        </row>
        <row r="29">
          <cell r="C29"/>
          <cell r="F29"/>
        </row>
        <row r="30">
          <cell r="C30"/>
          <cell r="F30"/>
        </row>
        <row r="31">
          <cell r="C31">
            <v>305</v>
          </cell>
          <cell r="F31"/>
        </row>
        <row r="36">
          <cell r="C36"/>
          <cell r="F36"/>
        </row>
        <row r="37">
          <cell r="C37"/>
          <cell r="F37"/>
        </row>
        <row r="38">
          <cell r="C38"/>
          <cell r="F38"/>
        </row>
        <row r="39">
          <cell r="C39"/>
          <cell r="F39"/>
        </row>
        <row r="40">
          <cell r="C40"/>
          <cell r="F40"/>
        </row>
        <row r="41">
          <cell r="C41">
            <v>2539616.3766666669</v>
          </cell>
          <cell r="F41">
            <v>2941447</v>
          </cell>
        </row>
        <row r="42">
          <cell r="C42"/>
          <cell r="F42"/>
        </row>
        <row r="43">
          <cell r="C43">
            <v>4301932</v>
          </cell>
          <cell r="F43">
            <v>4328180</v>
          </cell>
        </row>
        <row r="44">
          <cell r="F44"/>
        </row>
        <row r="45">
          <cell r="C45"/>
          <cell r="F45"/>
        </row>
        <row r="46">
          <cell r="C46"/>
          <cell r="F46"/>
        </row>
        <row r="47">
          <cell r="C47"/>
          <cell r="F47"/>
        </row>
        <row r="48">
          <cell r="C48"/>
          <cell r="F48"/>
        </row>
        <row r="49">
          <cell r="C49"/>
          <cell r="F49"/>
        </row>
        <row r="54">
          <cell r="C54"/>
          <cell r="F54"/>
        </row>
        <row r="60">
          <cell r="C60"/>
          <cell r="F60">
            <v>7437608</v>
          </cell>
        </row>
        <row r="61">
          <cell r="C61">
            <v>1804396</v>
          </cell>
          <cell r="F61"/>
        </row>
      </sheetData>
      <sheetData sheetId="5">
        <row r="17">
          <cell r="C17">
            <v>10395493</v>
          </cell>
          <cell r="F17">
            <v>11326731</v>
          </cell>
        </row>
        <row r="18">
          <cell r="C18">
            <v>2324261</v>
          </cell>
          <cell r="F18">
            <v>1614956</v>
          </cell>
        </row>
        <row r="19">
          <cell r="C19"/>
          <cell r="F19"/>
        </row>
        <row r="20">
          <cell r="C20">
            <v>6348919</v>
          </cell>
          <cell r="F20"/>
        </row>
        <row r="21">
          <cell r="C21"/>
          <cell r="F21"/>
        </row>
        <row r="22">
          <cell r="C22">
            <v>12461179</v>
          </cell>
          <cell r="F22"/>
        </row>
        <row r="24">
          <cell r="C24">
            <v>1428153</v>
          </cell>
          <cell r="F24">
            <v>1138388</v>
          </cell>
        </row>
        <row r="25">
          <cell r="C25"/>
          <cell r="F25"/>
        </row>
        <row r="26">
          <cell r="C26"/>
          <cell r="F26"/>
        </row>
        <row r="27">
          <cell r="C27"/>
          <cell r="F27"/>
        </row>
        <row r="28">
          <cell r="C28"/>
          <cell r="F28"/>
        </row>
        <row r="29">
          <cell r="C29"/>
          <cell r="F29"/>
        </row>
        <row r="30">
          <cell r="C30"/>
          <cell r="F30"/>
        </row>
        <row r="31">
          <cell r="C31"/>
          <cell r="F31"/>
        </row>
        <row r="36">
          <cell r="C36">
            <v>2101187</v>
          </cell>
          <cell r="F36">
            <v>2521424</v>
          </cell>
        </row>
        <row r="37">
          <cell r="C37">
            <v>6224684</v>
          </cell>
          <cell r="F37">
            <v>6912449</v>
          </cell>
        </row>
        <row r="38">
          <cell r="C38">
            <v>1804806</v>
          </cell>
          <cell r="F38">
            <v>2424630</v>
          </cell>
        </row>
        <row r="39">
          <cell r="C39">
            <v>112953</v>
          </cell>
          <cell r="F39">
            <v>118541</v>
          </cell>
        </row>
        <row r="40">
          <cell r="C40">
            <v>107827</v>
          </cell>
          <cell r="F40">
            <v>113218</v>
          </cell>
        </row>
        <row r="41">
          <cell r="C41">
            <v>283659</v>
          </cell>
          <cell r="F41">
            <v>224050</v>
          </cell>
        </row>
        <row r="42">
          <cell r="C42">
            <v>1826299</v>
          </cell>
          <cell r="F42">
            <v>923700</v>
          </cell>
        </row>
        <row r="43">
          <cell r="C43">
            <v>663173</v>
          </cell>
          <cell r="F43">
            <v>729490</v>
          </cell>
        </row>
        <row r="44">
          <cell r="F44">
            <v>0</v>
          </cell>
        </row>
        <row r="45">
          <cell r="C45">
            <v>107212</v>
          </cell>
          <cell r="F45">
            <v>112573</v>
          </cell>
        </row>
        <row r="46">
          <cell r="C46"/>
          <cell r="F46"/>
        </row>
        <row r="47">
          <cell r="C47">
            <v>6348919</v>
          </cell>
          <cell r="F47"/>
        </row>
        <row r="48">
          <cell r="C48"/>
          <cell r="F48"/>
        </row>
        <row r="49">
          <cell r="C49">
            <v>12461179</v>
          </cell>
          <cell r="F49"/>
        </row>
        <row r="54">
          <cell r="C54"/>
          <cell r="F54"/>
        </row>
        <row r="60">
          <cell r="C60">
            <v>916107</v>
          </cell>
          <cell r="F60"/>
        </row>
        <row r="61">
          <cell r="C61"/>
          <cell r="F61"/>
        </row>
      </sheetData>
      <sheetData sheetId="6">
        <row r="17">
          <cell r="C17">
            <v>13787394</v>
          </cell>
          <cell r="F17">
            <v>13000000</v>
          </cell>
        </row>
        <row r="18">
          <cell r="C18">
            <v>14951882</v>
          </cell>
          <cell r="F18">
            <v>12800000</v>
          </cell>
        </row>
        <row r="19">
          <cell r="C19"/>
          <cell r="F19"/>
        </row>
        <row r="20">
          <cell r="C20"/>
          <cell r="F20"/>
        </row>
        <row r="21">
          <cell r="C21">
            <v>8261179</v>
          </cell>
          <cell r="F21"/>
        </row>
        <row r="22">
          <cell r="C22"/>
          <cell r="F22"/>
        </row>
        <row r="24">
          <cell r="C24"/>
          <cell r="F24"/>
        </row>
        <row r="25">
          <cell r="C25"/>
          <cell r="F25"/>
        </row>
        <row r="26">
          <cell r="C26"/>
          <cell r="F26"/>
        </row>
        <row r="27">
          <cell r="C27"/>
          <cell r="F27"/>
        </row>
        <row r="28">
          <cell r="C28"/>
          <cell r="F28"/>
        </row>
        <row r="29">
          <cell r="C29"/>
          <cell r="F29"/>
        </row>
        <row r="30">
          <cell r="C30"/>
          <cell r="F30"/>
        </row>
        <row r="31">
          <cell r="C31"/>
          <cell r="F31"/>
        </row>
        <row r="36">
          <cell r="C36"/>
          <cell r="F36"/>
        </row>
        <row r="37">
          <cell r="C37"/>
          <cell r="F37"/>
        </row>
        <row r="38">
          <cell r="C38"/>
          <cell r="F38"/>
        </row>
        <row r="39">
          <cell r="C39"/>
          <cell r="F39"/>
        </row>
        <row r="40">
          <cell r="C40"/>
          <cell r="F40"/>
        </row>
        <row r="41">
          <cell r="C41"/>
          <cell r="F41"/>
        </row>
        <row r="42">
          <cell r="C42"/>
          <cell r="F42"/>
        </row>
        <row r="43">
          <cell r="C43">
            <v>28739276</v>
          </cell>
          <cell r="F43">
            <v>25800000</v>
          </cell>
        </row>
        <row r="44">
          <cell r="F44"/>
        </row>
        <row r="45">
          <cell r="C45"/>
          <cell r="F45"/>
        </row>
        <row r="46">
          <cell r="C46"/>
          <cell r="F46"/>
        </row>
        <row r="47">
          <cell r="C47"/>
          <cell r="F47"/>
        </row>
        <row r="48">
          <cell r="C48">
            <v>8261179</v>
          </cell>
          <cell r="F48"/>
        </row>
        <row r="49">
          <cell r="C49"/>
          <cell r="F49"/>
        </row>
        <row r="54">
          <cell r="C54"/>
          <cell r="F54"/>
        </row>
        <row r="60">
          <cell r="C60"/>
          <cell r="F60"/>
        </row>
        <row r="61">
          <cell r="C61"/>
          <cell r="F61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zoomScale="80" zoomScaleNormal="80" zoomScaleSheetLayoutView="80" workbookViewId="0"/>
  </sheetViews>
  <sheetFormatPr defaultColWidth="9.140625" defaultRowHeight="15"/>
  <cols>
    <col min="1" max="1" width="54.140625" style="2" customWidth="1"/>
    <col min="2" max="7" width="19.7109375" style="2" customWidth="1"/>
    <col min="8" max="9" width="14.85546875" style="2" bestFit="1" customWidth="1"/>
    <col min="10" max="10" width="10.28515625" style="2" bestFit="1" customWidth="1"/>
    <col min="11" max="16384" width="9.140625" style="2"/>
  </cols>
  <sheetData>
    <row r="1" spans="1:10" ht="15.75">
      <c r="A1" s="1" t="s">
        <v>0</v>
      </c>
      <c r="B1" s="1"/>
      <c r="C1" s="1"/>
      <c r="D1" s="1"/>
      <c r="E1" s="1"/>
      <c r="F1" s="1"/>
      <c r="G1" s="1"/>
    </row>
    <row r="2" spans="1:10" ht="15.75">
      <c r="A2" s="1" t="s">
        <v>1</v>
      </c>
      <c r="B2" s="1"/>
      <c r="C2" s="1"/>
      <c r="D2" s="1"/>
      <c r="E2" s="1"/>
      <c r="F2" s="1"/>
      <c r="G2" s="1"/>
    </row>
    <row r="3" spans="1:10" ht="15.75">
      <c r="A3" s="3" t="s">
        <v>82</v>
      </c>
      <c r="B3" s="1"/>
      <c r="C3" s="1"/>
      <c r="D3" s="1"/>
      <c r="E3" s="1"/>
      <c r="F3" s="1"/>
      <c r="G3" s="1"/>
    </row>
    <row r="4" spans="1:10" ht="15.75" thickBot="1">
      <c r="A4" s="192"/>
      <c r="B4" s="193"/>
      <c r="C4" s="192"/>
      <c r="D4" s="192"/>
      <c r="E4" s="192"/>
      <c r="F4" s="192"/>
      <c r="G4" s="192"/>
    </row>
    <row r="5" spans="1:10" s="105" customFormat="1" ht="15.75" customHeight="1" thickBot="1">
      <c r="A5" s="330" t="s">
        <v>3</v>
      </c>
      <c r="B5" s="332" t="s">
        <v>4</v>
      </c>
      <c r="C5" s="333"/>
      <c r="D5" s="334" t="s">
        <v>5</v>
      </c>
      <c r="E5" s="335"/>
      <c r="F5" s="335"/>
      <c r="G5" s="336"/>
    </row>
    <row r="6" spans="1:10" s="196" customFormat="1" ht="69.75" customHeight="1" thickBot="1">
      <c r="A6" s="331"/>
      <c r="B6" s="149" t="s">
        <v>6</v>
      </c>
      <c r="C6" s="149" t="s">
        <v>7</v>
      </c>
      <c r="D6" s="151" t="s">
        <v>8</v>
      </c>
      <c r="E6" s="150" t="s">
        <v>9</v>
      </c>
      <c r="F6" s="150" t="s">
        <v>10</v>
      </c>
      <c r="G6" s="149" t="s">
        <v>11</v>
      </c>
      <c r="H6" s="105"/>
      <c r="I6" s="105"/>
      <c r="J6" s="105"/>
    </row>
    <row r="7" spans="1:10" s="105" customFormat="1" ht="17.100000000000001" customHeight="1">
      <c r="A7" s="197" t="s">
        <v>12</v>
      </c>
      <c r="B7" s="197"/>
      <c r="C7" s="198"/>
      <c r="D7" s="198"/>
      <c r="E7" s="199"/>
      <c r="F7" s="199"/>
      <c r="G7" s="200"/>
      <c r="H7" s="201"/>
    </row>
    <row r="8" spans="1:10" s="105" customFormat="1" ht="17.100000000000001" customHeight="1">
      <c r="A8" s="202" t="s">
        <v>13</v>
      </c>
      <c r="B8" s="202"/>
      <c r="C8" s="203"/>
      <c r="D8" s="203"/>
      <c r="E8" s="204"/>
      <c r="F8" s="204"/>
      <c r="G8" s="205"/>
    </row>
    <row r="9" spans="1:10" s="105" customFormat="1" ht="17.100000000000001" customHeight="1">
      <c r="A9" s="206" t="s">
        <v>14</v>
      </c>
      <c r="B9" s="207">
        <f>'Table A (Boulder)'!B9+'Table A (Denver)'!B9+'Table A (UCCS)'!B9+'Table A (AMC) '!B9</f>
        <v>83807580</v>
      </c>
      <c r="C9" s="207">
        <f>'Table A (Boulder)'!C9+'Table A (Denver)'!C9+'Table A (UCCS)'!C9+'Table A (AMC) '!C9</f>
        <v>82266510</v>
      </c>
      <c r="D9" s="207">
        <f>'Table A (Boulder)'!D9+'Table A (Denver)'!D9+'Table A (UCCS)'!D9+'Table A (AMC) '!D9</f>
        <v>90381826</v>
      </c>
      <c r="E9" s="208">
        <f>'Table A (Boulder)'!E9+'Table A (Denver)'!E9+'Table A (UCCS)'!E9+'Table A (AMC) '!E9</f>
        <v>0</v>
      </c>
      <c r="F9" s="209">
        <f>'Table A (Boulder)'!F9+'Table A (Denver)'!F9+'Table A (UCCS)'!F9+'Table A (AMC) '!F9</f>
        <v>0</v>
      </c>
      <c r="G9" s="210">
        <f t="shared" ref="G9:G14" si="0">SUM(D9:F9)</f>
        <v>90381826</v>
      </c>
    </row>
    <row r="10" spans="1:10" s="105" customFormat="1" ht="17.100000000000001" customHeight="1">
      <c r="A10" s="206" t="s">
        <v>15</v>
      </c>
      <c r="B10" s="207">
        <f>'Table A (Boulder)'!B10+'Table A (Denver)'!B10+'Table A (UCCS)'!B10+'Table A (AMC) '!B10</f>
        <v>523828159.51582772</v>
      </c>
      <c r="C10" s="207">
        <f>'Table A (Boulder)'!C10+'Table A (Denver)'!C10+'Table A (UCCS)'!C10+'Table A (AMC) '!C10</f>
        <v>512708158.62295026</v>
      </c>
      <c r="D10" s="207">
        <f>'Table A (Boulder)'!D10+'Table A (Denver)'!D10+'Table A (UCCS)'!D10+'Table A (AMC) '!D10</f>
        <v>541746827.35360003</v>
      </c>
      <c r="E10" s="208">
        <f>'Table A (Boulder)'!E10+'Table A (Denver)'!E10+'Table A (UCCS)'!E10+'Table A (AMC) '!E10</f>
        <v>0</v>
      </c>
      <c r="F10" s="209">
        <f>'Table A (Boulder)'!F10+'Table A (Denver)'!F10+'Table A (UCCS)'!F10+'Table A (AMC) '!F10</f>
        <v>0</v>
      </c>
      <c r="G10" s="210">
        <f t="shared" si="0"/>
        <v>541746827.35360003</v>
      </c>
    </row>
    <row r="11" spans="1:10" s="105" customFormat="1" ht="17.100000000000001" customHeight="1">
      <c r="A11" s="206" t="s">
        <v>16</v>
      </c>
      <c r="B11" s="207">
        <f>'Table A (Boulder)'!B11+'Table A (Denver)'!B11+'Table A (UCCS)'!B11+'Table A (AMC) '!B11</f>
        <v>641935526.88417232</v>
      </c>
      <c r="C11" s="207">
        <f>'Table A (Boulder)'!C11+'Table A (Denver)'!C11+'Table A (UCCS)'!C11+'Table A (AMC) '!C11</f>
        <v>658653658.64712882</v>
      </c>
      <c r="D11" s="207">
        <f>'Table A (Boulder)'!D11+'Table A (Denver)'!D11+'Table A (UCCS)'!D11+'Table A (AMC) '!D11</f>
        <v>686659369.86479998</v>
      </c>
      <c r="E11" s="208">
        <f>'Table A (Boulder)'!E11+'Table A (Denver)'!E11+'Table A (UCCS)'!E11+'Table A (AMC) '!E11</f>
        <v>0</v>
      </c>
      <c r="F11" s="209">
        <f>'Table A (Boulder)'!F11+'Table A (Denver)'!F11+'Table A (UCCS)'!F11+'Table A (AMC) '!F11</f>
        <v>0</v>
      </c>
      <c r="G11" s="210">
        <f t="shared" si="0"/>
        <v>686659369.86479998</v>
      </c>
    </row>
    <row r="12" spans="1:10" s="105" customFormat="1" ht="17.100000000000001" customHeight="1">
      <c r="A12" s="206" t="s">
        <v>17</v>
      </c>
      <c r="B12" s="207">
        <f>'Table A (Boulder)'!B12+'Table A (Denver)'!B12+'Table A (UCCS)'!B12+'Table A (AMC) '!B12</f>
        <v>72001039.884563819</v>
      </c>
      <c r="C12" s="207">
        <f>'Table A (Boulder)'!C12+'Table A (Denver)'!C12+'Table A (UCCS)'!C12+'Table A (AMC) '!C12</f>
        <v>68907039.72768715</v>
      </c>
      <c r="D12" s="207">
        <f>'Table A (Boulder)'!D12+'Table A (Denver)'!D12+'Table A (UCCS)'!D12+'Table A (AMC) '!D12</f>
        <v>0</v>
      </c>
      <c r="E12" s="208">
        <f>'Table A (Boulder)'!E12+'Table A (Denver)'!E12+'Table A (UCCS)'!E12+'Table A (AMC) '!E12</f>
        <v>67574554.459371135</v>
      </c>
      <c r="F12" s="209">
        <f>'Table A (Boulder)'!F12+'Table A (Denver)'!F12+'Table A (UCCS)'!F12+'Table A (AMC) '!F12</f>
        <v>0</v>
      </c>
      <c r="G12" s="210">
        <f t="shared" si="0"/>
        <v>67574554.459371135</v>
      </c>
      <c r="J12" s="211"/>
    </row>
    <row r="13" spans="1:10" s="105" customFormat="1" ht="17.100000000000001" customHeight="1">
      <c r="A13" s="212" t="s">
        <v>18</v>
      </c>
      <c r="B13" s="207">
        <f>'Table A (Boulder)'!B13+'Table A (Denver)'!B13+'Table A (UCCS)'!B13+'Table A (AMC) '!B13</f>
        <v>122532833.98897384</v>
      </c>
      <c r="C13" s="207">
        <f>'Table A (Boulder)'!C13+'Table A (Denver)'!C13+'Table A (UCCS)'!C13+'Table A (AMC) '!C13</f>
        <v>120110017.43027425</v>
      </c>
      <c r="D13" s="207">
        <f>'Table A (Boulder)'!D13+'Table A (Denver)'!D13+'Table A (UCCS)'!D13+'Table A (AMC) '!D13</f>
        <v>26469247.583368216</v>
      </c>
      <c r="E13" s="208">
        <f>'Table A (Boulder)'!E13+'Table A (Denver)'!E13+'Table A (UCCS)'!E13+'Table A (AMC) '!E13</f>
        <v>78786179.611700326</v>
      </c>
      <c r="F13" s="209">
        <f>'Table A (Boulder)'!F13+'Table A (Denver)'!F13+'Table A (UCCS)'!F13+'Table A (AMC) '!F13</f>
        <v>0</v>
      </c>
      <c r="G13" s="210">
        <f t="shared" si="0"/>
        <v>105255427.19506854</v>
      </c>
    </row>
    <row r="14" spans="1:10" s="105" customFormat="1" ht="17.100000000000001" customHeight="1">
      <c r="A14" s="213" t="s">
        <v>76</v>
      </c>
      <c r="B14" s="207">
        <f>'Table A (AMC) '!B14</f>
        <v>10778938.26</v>
      </c>
      <c r="C14" s="207">
        <f>'Table A (AMC) '!C14</f>
        <v>10550393.455129212</v>
      </c>
      <c r="D14" s="207">
        <f>'Table A (AMC) '!D14</f>
        <v>10997931.347199999</v>
      </c>
      <c r="E14" s="208">
        <f>'Table A (AMC) '!E14</f>
        <v>0</v>
      </c>
      <c r="F14" s="209">
        <f>'Table A (Boulder)'!F14+'Table A (Denver)'!F14+'Table A (UCCS)'!F14+'Table A (AMC) '!F14</f>
        <v>0</v>
      </c>
      <c r="G14" s="210">
        <f t="shared" si="0"/>
        <v>10997931.347199999</v>
      </c>
    </row>
    <row r="15" spans="1:10" s="219" customFormat="1" ht="17.100000000000001" customHeight="1">
      <c r="A15" s="214" t="s">
        <v>19</v>
      </c>
      <c r="B15" s="215">
        <f t="shared" ref="B15:G15" si="1">SUM(B9:B14)</f>
        <v>1454884078.5335379</v>
      </c>
      <c r="C15" s="216">
        <f t="shared" si="1"/>
        <v>1453195777.8831697</v>
      </c>
      <c r="D15" s="216">
        <f t="shared" si="1"/>
        <v>1356255202.1489682</v>
      </c>
      <c r="E15" s="217">
        <f t="shared" si="1"/>
        <v>146360734.07107145</v>
      </c>
      <c r="F15" s="217">
        <f t="shared" si="1"/>
        <v>0</v>
      </c>
      <c r="G15" s="218">
        <f t="shared" si="1"/>
        <v>1502615936.2200396</v>
      </c>
    </row>
    <row r="16" spans="1:10" s="105" customFormat="1" ht="17.100000000000001" customHeight="1">
      <c r="A16" s="202" t="s">
        <v>20</v>
      </c>
      <c r="B16" s="207">
        <f>'Table A (Boulder)'!B15+'Table A (AMC) '!B16</f>
        <v>24228618.213469692</v>
      </c>
      <c r="C16" s="220">
        <f>'Table A (Boulder)'!C15+'Table A (AMC) '!C16</f>
        <v>17916431.20101352</v>
      </c>
      <c r="D16" s="220">
        <f>'Table A (Boulder)'!D15+'Table A (AMC) '!D16</f>
        <v>0</v>
      </c>
      <c r="E16" s="221">
        <f>'Table A (Boulder)'!E15+'Table A (AMC) '!E16</f>
        <v>15620524.185984245</v>
      </c>
      <c r="F16" s="221">
        <f>'Table A (Boulder)'!F15+'Table A (AMC) '!F16</f>
        <v>66667</v>
      </c>
      <c r="G16" s="210">
        <f>SUM(D16:F16)</f>
        <v>15687191.185984245</v>
      </c>
    </row>
    <row r="17" spans="1:8" s="105" customFormat="1" ht="17.100000000000001" customHeight="1">
      <c r="A17" s="202" t="s">
        <v>21</v>
      </c>
      <c r="B17" s="207"/>
      <c r="C17" s="220"/>
      <c r="D17" s="220"/>
      <c r="E17" s="221"/>
      <c r="F17" s="221"/>
      <c r="G17" s="210"/>
    </row>
    <row r="18" spans="1:8" s="105" customFormat="1" ht="17.100000000000001" customHeight="1">
      <c r="A18" s="206" t="s">
        <v>22</v>
      </c>
      <c r="B18" s="207">
        <f>'Table A (Boulder)'!B17+'Table A (Denver)'!B17+'Table A (UCCS)'!B17+'Table A (AMC) '!B18</f>
        <v>711489120.80576825</v>
      </c>
      <c r="C18" s="220">
        <f>'Table A (Boulder)'!C17+'Table A (Denver)'!C17+'Table A (UCCS)'!C17+'Table A (AMC) '!C18</f>
        <v>781153907.98850107</v>
      </c>
      <c r="D18" s="220">
        <f>'Table A (Boulder)'!D17+'Table A (Denver)'!D17+'Table A (UCCS)'!D17+'Table A (AMC) '!D18</f>
        <v>0</v>
      </c>
      <c r="E18" s="221">
        <f>'Table A (Boulder)'!E17+'Table A (Denver)'!E17+'Table A (UCCS)'!E17+'Table A (AMC) '!E18</f>
        <v>0</v>
      </c>
      <c r="F18" s="221">
        <f>'Table A (Boulder)'!F17+'Table A (Denver)'!F17+'Table A (UCCS)'!F17+'Table A (AMC) '!F18</f>
        <v>819616723.09309101</v>
      </c>
      <c r="G18" s="210">
        <f t="shared" ref="G18:G26" si="2">SUM(D18:F18)</f>
        <v>819616723.09309101</v>
      </c>
    </row>
    <row r="19" spans="1:8" s="105" customFormat="1" ht="17.100000000000001" customHeight="1">
      <c r="A19" s="206" t="s">
        <v>23</v>
      </c>
      <c r="B19" s="207">
        <f>'Table A (Boulder)'!B18+'Table A (Denver)'!B18+'Table A (UCCS)'!B18+'Table A (AMC) '!B19</f>
        <v>61688326.322750479</v>
      </c>
      <c r="C19" s="220">
        <f>'Table A (Boulder)'!C18+'Table A (Denver)'!C18+'Table A (UCCS)'!C18+'Table A (AMC) '!C19</f>
        <v>66527510.672041856</v>
      </c>
      <c r="D19" s="220">
        <f>'Table A (Boulder)'!D18+'Table A (Denver)'!E18+'Table A (UCCS)'!D18+'Table A (AMC) '!D19</f>
        <v>0</v>
      </c>
      <c r="E19" s="221">
        <f>'Table A (Boulder)'!E18+'Table A (Denver)'!E18+'Table A (UCCS)'!E18+'Table A (AMC) '!E19</f>
        <v>0</v>
      </c>
      <c r="F19" s="221">
        <f>'Table A (Boulder)'!F18+'Table A (Denver)'!F18+'Table A (UCCS)'!F18+'Table A (AMC) '!F19</f>
        <v>65365475.355313361</v>
      </c>
      <c r="G19" s="210">
        <f t="shared" si="2"/>
        <v>65365475.355313361</v>
      </c>
    </row>
    <row r="20" spans="1:8" s="105" customFormat="1" ht="17.100000000000001" customHeight="1">
      <c r="A20" s="206" t="s">
        <v>75</v>
      </c>
      <c r="B20" s="207">
        <f>'Table A (AMC) '!B20</f>
        <v>15244624</v>
      </c>
      <c r="C20" s="220">
        <f>'Table A (AMC) '!C20</f>
        <v>15244624</v>
      </c>
      <c r="D20" s="220">
        <f>'Table A (AMC) '!D20</f>
        <v>15206425</v>
      </c>
      <c r="E20" s="221">
        <f>'Table A (AMC) '!E20</f>
        <v>0</v>
      </c>
      <c r="F20" s="221">
        <f>'Table A (AMC) '!F20</f>
        <v>0</v>
      </c>
      <c r="G20" s="210">
        <f t="shared" si="2"/>
        <v>15206425</v>
      </c>
      <c r="H20" s="211"/>
    </row>
    <row r="21" spans="1:8" s="105" customFormat="1" ht="17.100000000000001" customHeight="1">
      <c r="A21" s="212" t="s">
        <v>74</v>
      </c>
      <c r="B21" s="207">
        <f>'Table A (AMC) '!B21</f>
        <v>8325000</v>
      </c>
      <c r="C21" s="220">
        <f>'Table A (AMC) '!C21</f>
        <v>8325000</v>
      </c>
      <c r="D21" s="220">
        <f>'Table A (AMC) '!D21</f>
        <v>6825000</v>
      </c>
      <c r="E21" s="221">
        <f>'Table A (AMC) '!E21</f>
        <v>0</v>
      </c>
      <c r="F21" s="221">
        <f>'Table A (AMC) '!F21</f>
        <v>0</v>
      </c>
      <c r="G21" s="210">
        <f t="shared" si="2"/>
        <v>6825000</v>
      </c>
    </row>
    <row r="22" spans="1:8" s="105" customFormat="1" ht="17.100000000000001" customHeight="1">
      <c r="A22" s="212" t="s">
        <v>85</v>
      </c>
      <c r="B22" s="207">
        <f>'Table A (Boulder)'!B20+'Table A (Denver)'!B20+'Table A (UCCS)'!B19+'Table A (AMC) '!B22</f>
        <v>179696755</v>
      </c>
      <c r="C22" s="220">
        <f>'Table A (Boulder)'!C20+'Table A (Denver)'!C20+'Table A (UCCS)'!C19+'Table A (AMC) '!C22</f>
        <v>181237825</v>
      </c>
      <c r="D22" s="220">
        <f>'Table A (Boulder)'!D20+'Table A (Denver)'!D20+'Table A (UCCS)'!D19+'Table A (AMC) '!D22</f>
        <v>200065500</v>
      </c>
      <c r="E22" s="221">
        <f>'Table A (Boulder)'!E20+'Table A (Denver)'!E20+'Table A (UCCS)'!E19+'Table A (AMC) '!E22</f>
        <v>0</v>
      </c>
      <c r="F22" s="221">
        <f>'Table A (Boulder)'!F20+'Table A (Denver)'!F20+'Table A (UCCS)'!F19+'Table A (AMC) '!F22</f>
        <v>0</v>
      </c>
      <c r="G22" s="210">
        <f t="shared" si="2"/>
        <v>200065500</v>
      </c>
    </row>
    <row r="23" spans="1:8" s="105" customFormat="1" ht="17.100000000000001" customHeight="1">
      <c r="A23" s="222" t="s">
        <v>66</v>
      </c>
      <c r="B23" s="207">
        <f>'Table A (Boulder)'!B21+'Table A (Denver)'!B21+'Table A (AMC) '!B23</f>
        <v>2151671</v>
      </c>
      <c r="C23" s="220">
        <f>'Table A (Boulder)'!C21+'Table A (Denver)'!C21+'Table A (AMC) '!C23</f>
        <v>4303342</v>
      </c>
      <c r="D23" s="220">
        <f>'Table A (Boulder)'!D21+'Table A (Denver)'!D21+'Table A (AMC) '!D23</f>
        <v>0</v>
      </c>
      <c r="E23" s="221">
        <f>'Table A (Boulder)'!E21+'Table A (Denver)'!E21+'Table A (AMC) '!E23</f>
        <v>0</v>
      </c>
      <c r="F23" s="221">
        <f>'Table A (Boulder)'!F21+'Table A (Denver)'!F21+'Table A (AMC) '!F23</f>
        <v>0</v>
      </c>
      <c r="G23" s="210">
        <f t="shared" si="2"/>
        <v>0</v>
      </c>
    </row>
    <row r="24" spans="1:8" s="105" customFormat="1" ht="17.100000000000001" customHeight="1">
      <c r="A24" s="222" t="s">
        <v>67</v>
      </c>
      <c r="B24" s="207">
        <f>'Table A (Boulder)'!B22+'Table A (Denver)'!B22+'Table A (UCCS)'!B20+'Table A (AMC) '!B24</f>
        <v>33468930</v>
      </c>
      <c r="C24" s="220">
        <f>'Table A (Boulder)'!C22+'Table A (Denver)'!C22+'Table A (UCCS)'!C20+'Table A (AMC) '!C24</f>
        <v>12779599.93</v>
      </c>
      <c r="D24" s="220">
        <f>'Table A (Boulder)'!D22+'Table A (Denver)'!D22+'Table A (UCCS)'!D20+'Table A (AMC) '!D24</f>
        <v>0</v>
      </c>
      <c r="E24" s="221">
        <f>'Table A (Boulder)'!E22+'Table A (Denver)'!E22+'Table A (UCCS)'!E20+'Table A (AMC) '!E24</f>
        <v>0</v>
      </c>
      <c r="F24" s="221">
        <f>'Table A (Boulder)'!F22+'Table A (Denver)'!F22+'Table A (UCCS)'!F20+'Table A (AMC) '!F24</f>
        <v>0</v>
      </c>
      <c r="G24" s="210">
        <f t="shared" si="2"/>
        <v>0</v>
      </c>
    </row>
    <row r="25" spans="1:8" s="105" customFormat="1" ht="17.100000000000001" customHeight="1">
      <c r="A25" s="222" t="s">
        <v>68</v>
      </c>
      <c r="B25" s="207">
        <f>'Table A (Boulder)'!B23+'Table A (Denver)'!B23+'Table A (UCCS)'!B21+'Table A (AMC) '!B25</f>
        <v>50958033.731200002</v>
      </c>
      <c r="C25" s="220">
        <f>'Table A (Boulder)'!C23+'Table A (Denver)'!C23+'Table A (UCCS)'!C21+'Table A (AMC) '!C25</f>
        <v>50853663</v>
      </c>
      <c r="D25" s="220">
        <f>'Table A (Boulder)'!D23+'Table A (Denver)'!D23+'Table A (UCCS)'!D21+'Table A (AMC) '!D25</f>
        <v>0</v>
      </c>
      <c r="E25" s="221">
        <f>'Table A (Boulder)'!E23+'Table A (Denver)'!E23+'Table A (UCCS)'!E21+'Table A (AMC) '!E25</f>
        <v>0</v>
      </c>
      <c r="F25" s="221">
        <f>'Table A (Boulder)'!F23+'Table A (Denver)'!F23+'Table A (UCCS)'!F21+'Table A (AMC) '!F25</f>
        <v>0</v>
      </c>
      <c r="G25" s="210">
        <f t="shared" si="2"/>
        <v>0</v>
      </c>
    </row>
    <row r="26" spans="1:8" s="105" customFormat="1" ht="17.100000000000001" customHeight="1">
      <c r="A26" s="222" t="s">
        <v>69</v>
      </c>
      <c r="B26" s="207">
        <f>'Table A (Boulder)'!B24+'Table A (Denver)'!B24+'Table A (UCCS)'!B22+'Table A (AMC) '!B26</f>
        <v>54791168</v>
      </c>
      <c r="C26" s="220">
        <f>'Table A (Boulder)'!C24+'Table A (Denver)'!C24+'Table A (UCCS)'!C22+'Table A (AMC) '!C26</f>
        <v>24107174</v>
      </c>
      <c r="D26" s="220">
        <f>'Table A (Boulder)'!D24+'Table A (Denver)'!D24+'Table A (UCCS)'!D22+'Table A (AMC) '!D26</f>
        <v>0</v>
      </c>
      <c r="E26" s="221">
        <f>'Table A (Boulder)'!E24+'Table A (Denver)'!E24+'Table A (UCCS)'!E22+'Table A (AMC) '!E26</f>
        <v>0</v>
      </c>
      <c r="F26" s="221">
        <f>'Table A (Boulder)'!F24+'Table A (Denver)'!F24+'Table A (UCCS)'!F22+'Table A (AMC) '!F26</f>
        <v>0</v>
      </c>
      <c r="G26" s="210">
        <f t="shared" si="2"/>
        <v>0</v>
      </c>
    </row>
    <row r="27" spans="1:8" s="219" customFormat="1" ht="17.100000000000001" customHeight="1">
      <c r="A27" s="223" t="s">
        <v>28</v>
      </c>
      <c r="B27" s="215">
        <f t="shared" ref="B27:G27" si="3">SUM(B16:B26)</f>
        <v>1142042247.0731885</v>
      </c>
      <c r="C27" s="216">
        <f>SUM(C16:C26)</f>
        <v>1162449077.7915566</v>
      </c>
      <c r="D27" s="216">
        <f t="shared" si="3"/>
        <v>222096925</v>
      </c>
      <c r="E27" s="217">
        <f t="shared" si="3"/>
        <v>15620524.185984245</v>
      </c>
      <c r="F27" s="217">
        <f t="shared" si="3"/>
        <v>885048865.44840431</v>
      </c>
      <c r="G27" s="218">
        <f t="shared" si="3"/>
        <v>1122766314.6343887</v>
      </c>
    </row>
    <row r="28" spans="1:8" s="105" customFormat="1" ht="17.100000000000001" customHeight="1">
      <c r="A28" s="224" t="s">
        <v>29</v>
      </c>
      <c r="B28" s="207">
        <f>'Table A (Boulder)'!B27+'Table A (Denver)'!B26+'Table A (UCCS)'!B24+'Table A (AMC) '!B28</f>
        <v>432026802.52454591</v>
      </c>
      <c r="C28" s="220">
        <f>'Table A (Boulder)'!C27+'Table A (Denver)'!C26+'Table A (UCCS)'!C24+'Table A (AMC) '!C28</f>
        <v>458727032.29992986</v>
      </c>
      <c r="D28" s="220">
        <f>'Table A (Boulder)'!D27+'Table A (Denver)'!D26+'Table A (UCCS)'!D24+'Table A (AMC) '!D28</f>
        <v>0</v>
      </c>
      <c r="E28" s="221">
        <f>'Table A (Boulder)'!E27+'Table A (Denver)'!E26+'Table A (UCCS)'!E24+'Table A (AMC) '!E28</f>
        <v>0</v>
      </c>
      <c r="F28" s="221">
        <f>'Table A (Boulder)'!F27+'Table A (Denver)'!F26+'Table A (UCCS)'!F24+'Table A (AMC) '!F28</f>
        <v>479728973.81588763</v>
      </c>
      <c r="G28" s="210">
        <f>SUM(D28:F28)</f>
        <v>479728973.81588763</v>
      </c>
    </row>
    <row r="29" spans="1:8" s="105" customFormat="1" ht="17.100000000000001" customHeight="1">
      <c r="A29" s="224" t="s">
        <v>30</v>
      </c>
      <c r="B29" s="207">
        <f>'Table A (Boulder)'!B28+'Table A (Denver)'!B27+'Table A (UCCS)'!B25+'Table A (AMC) '!B29</f>
        <v>255577323.35658404</v>
      </c>
      <c r="C29" s="220">
        <f>'Table A (Boulder)'!C28+'Table A (Denver)'!C27+'Table A (UCCS)'!C25+'Table A (AMC) '!C29</f>
        <v>270544654.26423794</v>
      </c>
      <c r="D29" s="220">
        <f>'Table A (Boulder)'!D28+'Table A (Denver)'!D27+'Table A (UCCS)'!D25+'Table A (AMC) '!D29</f>
        <v>0</v>
      </c>
      <c r="E29" s="221">
        <f>'Table A (Boulder)'!E28+'Table A (Denver)'!E27+'Table A (UCCS)'!E25+'Table A (AMC) '!E29</f>
        <v>276442774.61206168</v>
      </c>
      <c r="F29" s="221">
        <f>'Table A (Boulder)'!F28+'Table A (Denver)'!F27+'Table A (UCCS)'!F25+'Table A (AMC) '!F29</f>
        <v>0</v>
      </c>
      <c r="G29" s="210">
        <f>SUM(D29:F29)</f>
        <v>276442774.61206168</v>
      </c>
    </row>
    <row r="30" spans="1:8" s="105" customFormat="1" ht="17.100000000000001" customHeight="1">
      <c r="A30" s="224" t="s">
        <v>31</v>
      </c>
      <c r="B30" s="207">
        <f>'Table A (Boulder)'!B29+'Table A (Denver)'!B28+'Table A (UCCS)'!B26+'Table A (AMC) '!B30</f>
        <v>271578498.99235415</v>
      </c>
      <c r="C30" s="220">
        <f>'Table A (Boulder)'!C29+'Table A (Denver)'!C28+'Table A (UCCS)'!C26+'Table A (AMC) '!C30</f>
        <v>301190590.47734648</v>
      </c>
      <c r="D30" s="220">
        <f>'Table A (Boulder)'!D29+'Table A (Denver)'!D28+'Table A (UCCS)'!D26+'Table A (AMC) '!D30</f>
        <v>0</v>
      </c>
      <c r="E30" s="221">
        <f>'Table A (Boulder)'!E29+'Table A (Denver)'!E28+'Table A (UCCS)'!E26+'Table A (AMC) '!E30</f>
        <v>331022076.09451789</v>
      </c>
      <c r="F30" s="221">
        <f>'Table A (Boulder)'!F29+'Table A (Denver)'!F28+'Table A (UCCS)'!F26+'Table A (AMC) '!F30</f>
        <v>0</v>
      </c>
      <c r="G30" s="210">
        <f>SUM(D30:F30)</f>
        <v>331022076.09451789</v>
      </c>
    </row>
    <row r="31" spans="1:8" s="105" customFormat="1" ht="17.100000000000001" customHeight="1">
      <c r="A31" s="224" t="s">
        <v>32</v>
      </c>
      <c r="B31" s="207">
        <f>'Table A (Boulder)'!B30+'Table A (Denver)'!B29+'Table A (UCCS)'!B27+'Table A (AMC) '!B31</f>
        <v>1317715794.801995</v>
      </c>
      <c r="C31" s="220">
        <f>'Table A (Boulder)'!C30+'Table A (Denver)'!C29+'Table A (UCCS)'!C27+'Table A (AMC) '!C31</f>
        <v>1326960751.9324441</v>
      </c>
      <c r="D31" s="220">
        <f>'Table A (Boulder)'!D30+'Table A (Denver)'!D29+'Table A (UCCS)'!D27+'Table A (AMC) '!D31</f>
        <v>1629355.8667367655</v>
      </c>
      <c r="E31" s="221">
        <f>'Table A (Boulder)'!E30+'Table A (Denver)'!E29+'Table A (UCCS)'!E27+'Table A (AMC) '!E31</f>
        <v>1415600000.0338078</v>
      </c>
      <c r="F31" s="221">
        <f>'Table A (Boulder)'!F30+'Table A (Denver)'!F29+'Table A (UCCS)'!F27+'Table A (AMC) '!F31</f>
        <v>0</v>
      </c>
      <c r="G31" s="210">
        <f>SUM(D31:F31)</f>
        <v>1417229355.9005444</v>
      </c>
    </row>
    <row r="32" spans="1:8" s="105" customFormat="1" ht="17.100000000000001" customHeight="1">
      <c r="A32" s="225" t="s">
        <v>33</v>
      </c>
      <c r="B32" s="207"/>
      <c r="C32" s="220">
        <f>'Table A (Boulder)'!C31+'Table A (Denver)'!C30+'Table A (UCCS)'!C28+'Table A (AMC) '!C32</f>
        <v>0</v>
      </c>
      <c r="D32" s="220"/>
      <c r="E32" s="221"/>
      <c r="F32" s="221"/>
      <c r="G32" s="210"/>
    </row>
    <row r="33" spans="1:7" s="105" customFormat="1" ht="17.100000000000001" customHeight="1">
      <c r="A33" s="212" t="s">
        <v>34</v>
      </c>
      <c r="B33" s="207">
        <f>'Table A (Boulder)'!B32+'Table A (Denver)'!B31+'Table A (UCCS)'!B29+'Table A (AMC) '!B33</f>
        <v>247366832.06215572</v>
      </c>
      <c r="C33" s="220">
        <f>'Table A (Boulder)'!C32+'Table A (Denver)'!C31+'Table A (UCCS)'!C29+'Table A (AMC) '!C33</f>
        <v>261331205.38694513</v>
      </c>
      <c r="D33" s="220">
        <f>'Table A (Boulder)'!D32+'Table A (Denver)'!D31+'Table A (UCCS)'!D29+'Table A (AMC) '!D33</f>
        <v>214576653</v>
      </c>
      <c r="E33" s="221">
        <f>'Table A (Boulder)'!E32+'Table A (Denver)'!E31+'Table A (UCCS)'!E29+'Table A (AMC) '!E33</f>
        <v>53881550.150000006</v>
      </c>
      <c r="F33" s="221">
        <f>'Table A (Boulder)'!F32+'Table A (Denver)'!F31+'Table A (UCCS)'!F29+'Table A (AMC) '!F33</f>
        <v>0</v>
      </c>
      <c r="G33" s="210">
        <f>SUM(D33:F33)</f>
        <v>268458203.14999998</v>
      </c>
    </row>
    <row r="34" spans="1:7" s="105" customFormat="1" ht="17.100000000000001" customHeight="1">
      <c r="A34" s="212" t="s">
        <v>35</v>
      </c>
      <c r="B34" s="207">
        <f>'Table A (Denver)'!B32</f>
        <v>5678650.5800000001</v>
      </c>
      <c r="C34" s="220">
        <f>'Table A (Boulder)'!C33+'Table A (Denver)'!C32+'Table A (UCCS)'!C30+'Table A (AMC) '!C34</f>
        <v>5678651</v>
      </c>
      <c r="D34" s="220">
        <f>'Table A (Denver)'!D32</f>
        <v>5941972</v>
      </c>
      <c r="E34" s="221">
        <f>'Table A (Denver)'!E32</f>
        <v>0</v>
      </c>
      <c r="F34" s="221">
        <v>0</v>
      </c>
      <c r="G34" s="210">
        <f>SUM(D34:F34)</f>
        <v>5941972</v>
      </c>
    </row>
    <row r="35" spans="1:7" s="105" customFormat="1" ht="17.100000000000001" customHeight="1" thickBot="1">
      <c r="A35" s="226" t="s">
        <v>36</v>
      </c>
      <c r="B35" s="207">
        <f>'Table A (Boulder)'!B34+'Table A (Denver)'!B33+'Table A (UCCS)'!B31+'Table A (AMC) '!B35</f>
        <v>124446552.04356001</v>
      </c>
      <c r="C35" s="220">
        <f>'Table A (Boulder)'!C34+'Table A (Denver)'!C33+'Table A (UCCS)'!C31+'Table A (AMC) '!C35</f>
        <v>105923388.7891386</v>
      </c>
      <c r="D35" s="220">
        <f>'Table A (Boulder)'!D34+'Table A (Denver)'!D33+'Table A (UCCS)'!D31+'Table A (AMC) '!D35</f>
        <v>24335923.638488978</v>
      </c>
      <c r="E35" s="227">
        <f>'Table A (Boulder)'!E34+'Table A (Denver)'!E33+'Table A (UCCS)'!E31+'Table A (AMC) '!E35</f>
        <v>83413612.150569946</v>
      </c>
      <c r="F35" s="221">
        <f>'Table A (Boulder)'!F34+'Table A (Denver)'!F33+'Table A (UCCS)'!F31+'Table A (AMC) '!F35</f>
        <v>5227233.75394422</v>
      </c>
      <c r="G35" s="210">
        <f>SUM(D35:F35)</f>
        <v>112976769.54300314</v>
      </c>
    </row>
    <row r="36" spans="1:7" s="219" customFormat="1" ht="17.100000000000001" customHeight="1" thickTop="1">
      <c r="A36" s="228" t="s">
        <v>37</v>
      </c>
      <c r="B36" s="229">
        <f t="shared" ref="B36:G36" si="4">SUM(B28:B35)+B27+B15</f>
        <v>5251316779.9679213</v>
      </c>
      <c r="C36" s="230">
        <f t="shared" si="4"/>
        <v>5346001129.8247681</v>
      </c>
      <c r="D36" s="230">
        <f t="shared" si="4"/>
        <v>1824836031.6541939</v>
      </c>
      <c r="E36" s="231">
        <f t="shared" si="4"/>
        <v>2322341271.2980132</v>
      </c>
      <c r="F36" s="232">
        <f t="shared" si="4"/>
        <v>1370005073.0182362</v>
      </c>
      <c r="G36" s="233">
        <f t="shared" si="4"/>
        <v>5517182375.9704428</v>
      </c>
    </row>
    <row r="37" spans="1:7" s="105" customFormat="1" ht="9" customHeight="1">
      <c r="A37" s="224"/>
      <c r="B37" s="207"/>
      <c r="C37" s="234"/>
      <c r="D37" s="234"/>
      <c r="E37" s="235"/>
      <c r="F37" s="235"/>
      <c r="G37" s="236"/>
    </row>
    <row r="38" spans="1:7" s="105" customFormat="1" ht="17.100000000000001" customHeight="1">
      <c r="A38" s="237" t="s">
        <v>38</v>
      </c>
      <c r="B38" s="238"/>
      <c r="C38" s="234"/>
      <c r="D38" s="234"/>
      <c r="E38" s="235"/>
      <c r="F38" s="235"/>
      <c r="G38" s="236"/>
    </row>
    <row r="39" spans="1:7" s="105" customFormat="1" ht="17.100000000000001" customHeight="1">
      <c r="A39" s="224" t="s">
        <v>39</v>
      </c>
      <c r="B39" s="207"/>
      <c r="C39" s="234"/>
      <c r="D39" s="234"/>
      <c r="E39" s="235"/>
      <c r="F39" s="235"/>
      <c r="G39" s="236"/>
    </row>
    <row r="40" spans="1:7" s="105" customFormat="1" ht="17.100000000000001" customHeight="1">
      <c r="A40" s="212" t="s">
        <v>40</v>
      </c>
      <c r="B40" s="239">
        <f>'Table A (Boulder)'!B39+'Table A (Denver)'!B38+'Table A (UCCS)'!B36+'Table A (AMC) '!B40</f>
        <v>1284396798.2390609</v>
      </c>
      <c r="C40" s="220">
        <f>'Table A (Boulder)'!C39+'Table A (Denver)'!C38+'Table A (UCCS)'!C36+'Table A (AMC) '!C40</f>
        <v>1317689812.9120955</v>
      </c>
      <c r="D40" s="220">
        <f>'Table A (Boulder)'!D39+'Table A (Denver)'!D38+'Table A (UCCS)'!D36+'Table A (AMC) '!D40</f>
        <v>904088353.69230306</v>
      </c>
      <c r="E40" s="221">
        <f>'Table A (Boulder)'!E39+'Table A (Denver)'!E38+'Table A (UCCS)'!E36+'Table A (AMC) '!E40</f>
        <v>227468883.71056521</v>
      </c>
      <c r="F40" s="221">
        <f>'Table A (Boulder)'!F39+'Table A (Denver)'!F38+'Table A (UCCS)'!F36+'Table A (AMC) '!F40</f>
        <v>227480329.13713139</v>
      </c>
      <c r="G40" s="236">
        <f t="shared" ref="G40:G54" si="5">SUM(D40:F40)</f>
        <v>1359037566.5399997</v>
      </c>
    </row>
    <row r="41" spans="1:7" s="105" customFormat="1" ht="17.100000000000001" customHeight="1">
      <c r="A41" s="212" t="s">
        <v>41</v>
      </c>
      <c r="B41" s="239">
        <f>'Table A (Boulder)'!B40+'Table A (Denver)'!B39+'Table A (UCCS)'!B37+'Table A (AMC) '!B41</f>
        <v>772673829.8023634</v>
      </c>
      <c r="C41" s="220">
        <f>'Table A (Boulder)'!C40+'Table A (Denver)'!C39+'Table A (UCCS)'!C37+'Table A (AMC) '!C41</f>
        <v>938398948.59470677</v>
      </c>
      <c r="D41" s="220">
        <f>'Table A (Boulder)'!D40+'Table A (Denver)'!D39+'Table A (UCCS)'!D37+'Table A (AMC) '!D41</f>
        <v>11548074.838702394</v>
      </c>
      <c r="E41" s="221">
        <f>'Table A (Boulder)'!E40+'Table A (Denver)'!E39+'Table A (UCCS)'!E37+'Table A (AMC) '!E41</f>
        <v>24123810.914895903</v>
      </c>
      <c r="F41" s="221">
        <f>'Table A (Boulder)'!F40+'Table A (Denver)'!F39+'Table A (UCCS)'!F37+'Table A (AMC) '!F41</f>
        <v>930219674.23437679</v>
      </c>
      <c r="G41" s="236">
        <f t="shared" si="5"/>
        <v>965891559.98797512</v>
      </c>
    </row>
    <row r="42" spans="1:7" s="105" customFormat="1" ht="17.100000000000001" customHeight="1">
      <c r="A42" s="212" t="s">
        <v>42</v>
      </c>
      <c r="B42" s="239">
        <f>'Table A (Boulder)'!B41+'Table A (Denver)'!B40+'Table A (UCCS)'!B38+'Table A (AMC) '!B42</f>
        <v>176282212.85344046</v>
      </c>
      <c r="C42" s="220">
        <f>'Table A (Boulder)'!C41+'Table A (Denver)'!C40+'Table A (UCCS)'!C38+'Table A (AMC) '!C42</f>
        <v>173660997.22212416</v>
      </c>
      <c r="D42" s="220">
        <f>'Table A (Boulder)'!D41+'Table A (Denver)'!D40+'Table A (UCCS)'!D38+'Table A (AMC) '!D42</f>
        <v>588188.78154285264</v>
      </c>
      <c r="E42" s="221">
        <f>'Table A (Boulder)'!E41+'Table A (Denver)'!E40+'Table A (UCCS)'!E38+'Table A (AMC) '!E42</f>
        <v>148394381.32008374</v>
      </c>
      <c r="F42" s="221">
        <f>'Table A (Boulder)'!F41+'Table A (Denver)'!F40+'Table A (UCCS)'!F38+'Table A (AMC) '!F42</f>
        <v>21799540.135217361</v>
      </c>
      <c r="G42" s="236">
        <f t="shared" si="5"/>
        <v>170782110.23684397</v>
      </c>
    </row>
    <row r="43" spans="1:7" s="105" customFormat="1" ht="17.100000000000001" customHeight="1">
      <c r="A43" s="212" t="s">
        <v>43</v>
      </c>
      <c r="B43" s="239">
        <f>'Table A (Boulder)'!B42+'Table A (Denver)'!B41+'Table A (UCCS)'!B39+'Table A (AMC) '!B43</f>
        <v>259987406.37326515</v>
      </c>
      <c r="C43" s="220">
        <f>'Table A (Boulder)'!C42+'Table A (Denver)'!C41+'Table A (UCCS)'!C39+'Table A (AMC) '!C43</f>
        <v>277050320.88442767</v>
      </c>
      <c r="D43" s="220">
        <f>'Table A (Boulder)'!D42+'Table A (Denver)'!D41+'Table A (UCCS)'!D39+'Table A (AMC) '!D43</f>
        <v>252994133.35205391</v>
      </c>
      <c r="E43" s="221">
        <f>'Table A (Boulder)'!E42+'Table A (Denver)'!E41+'Table A (UCCS)'!E39+'Table A (AMC) '!E43</f>
        <v>36170991.071623705</v>
      </c>
      <c r="F43" s="221">
        <f>'Table A (Boulder)'!F42+'Table A (Denver)'!F41+'Table A (UCCS)'!F39+'Table A (AMC) '!F43</f>
        <v>5787916.6865368942</v>
      </c>
      <c r="G43" s="236">
        <f t="shared" si="5"/>
        <v>294953041.11021453</v>
      </c>
    </row>
    <row r="44" spans="1:7" s="105" customFormat="1" ht="17.100000000000001" customHeight="1">
      <c r="A44" s="212" t="s">
        <v>44</v>
      </c>
      <c r="B44" s="239">
        <f>'Table A (Boulder)'!B43+'Table A (Denver)'!B42+'Table A (UCCS)'!B40+'Table A (AMC) '!B44</f>
        <v>155220300.74671084</v>
      </c>
      <c r="C44" s="220">
        <f>'Table A (Boulder)'!C43+'Table A (Denver)'!C42+'Table A (UCCS)'!C40+'Table A (AMC) '!C44</f>
        <v>149334640.68240565</v>
      </c>
      <c r="D44" s="220">
        <f>'Table A (Boulder)'!D43+'Table A (Denver)'!D42+'Table A (UCCS)'!D40+'Table A (AMC) '!D44</f>
        <v>83437752.952180654</v>
      </c>
      <c r="E44" s="221">
        <f>'Table A (Boulder)'!E43+'Table A (Denver)'!E42+'Table A (UCCS)'!E40+'Table A (AMC) '!E44</f>
        <v>75219335.638329744</v>
      </c>
      <c r="F44" s="221">
        <f>'Table A (Boulder)'!F43+'Table A (Denver)'!F42+'Table A (UCCS)'!F40+'Table A (AMC) '!F44</f>
        <v>2316447.331014479</v>
      </c>
      <c r="G44" s="236">
        <f t="shared" si="5"/>
        <v>160973535.92152488</v>
      </c>
    </row>
    <row r="45" spans="1:7" s="105" customFormat="1" ht="17.100000000000001" customHeight="1">
      <c r="A45" s="212" t="s">
        <v>45</v>
      </c>
      <c r="B45" s="239">
        <f>'Table A (Boulder)'!B44+'Table A (Denver)'!B43+'Table A (UCCS)'!B41+'Table A (AMC) '!B45</f>
        <v>232062486.03104737</v>
      </c>
      <c r="C45" s="220">
        <f>'Table A (Boulder)'!C44+'Table A (Denver)'!C43+'Table A (UCCS)'!C41+'Table A (AMC) '!C45</f>
        <v>248683741.37322462</v>
      </c>
      <c r="D45" s="220">
        <f>'Table A (Boulder)'!D44+'Table A (Denver)'!D43+'Table A (UCCS)'!D41+'Table A (AMC) '!D45</f>
        <v>226004190.24431181</v>
      </c>
      <c r="E45" s="221">
        <f>'Table A (Boulder)'!E44+'Table A (Denver)'!E43+'Table A (UCCS)'!E41+'Table A (AMC) '!E45</f>
        <v>24203302.08325373</v>
      </c>
      <c r="F45" s="221">
        <f>'Table A (Boulder)'!F44+'Table A (Denver)'!F43+'Table A (UCCS)'!F41+'Table A (AMC) '!F45</f>
        <v>9876627.4947134405</v>
      </c>
      <c r="G45" s="236">
        <f t="shared" si="5"/>
        <v>260084119.82227898</v>
      </c>
    </row>
    <row r="46" spans="1:7" s="105" customFormat="1" ht="17.100000000000001" customHeight="1">
      <c r="A46" s="212" t="s">
        <v>46</v>
      </c>
      <c r="B46" s="239">
        <f>'Table A (Boulder)'!B45+'Table A (Denver)'!B44+'Table A (UCCS)'!B42+'Table A (AMC) '!B46</f>
        <v>210984070.57974789</v>
      </c>
      <c r="C46" s="220">
        <f>'Table A (Boulder)'!C45+'Table A (Denver)'!C44+'Table A (UCCS)'!C42+'Table A (AMC) '!C46</f>
        <v>191567637.3365249</v>
      </c>
      <c r="D46" s="220">
        <f>'Table A (Boulder)'!D45+'Table A (Denver)'!D44+'Table A (UCCS)'!D42+'Table A (AMC) '!D46</f>
        <v>166658243.4067232</v>
      </c>
      <c r="E46" s="221">
        <f>'Table A (Boulder)'!E45+'Table A (Denver)'!E44+'Table A (UCCS)'!E42+'Table A (AMC) '!E46</f>
        <v>3955234.9868942578</v>
      </c>
      <c r="F46" s="221">
        <f>'Table A (Boulder)'!F45+'Table A (Denver)'!F44+'Table A (UCCS)'!F42+'Table A (AMC) '!F46</f>
        <v>20938612.190000001</v>
      </c>
      <c r="G46" s="210">
        <f t="shared" si="5"/>
        <v>191552090.58361745</v>
      </c>
    </row>
    <row r="47" spans="1:7" s="105" customFormat="1" ht="17.100000000000001" customHeight="1">
      <c r="A47" s="212" t="s">
        <v>47</v>
      </c>
      <c r="B47" s="239">
        <f>'Table A (Boulder)'!B46+'Table A (Denver)'!B45+'Table A (UCCS)'!B43+'Table A (AMC) '!B47</f>
        <v>281757557.17687345</v>
      </c>
      <c r="C47" s="220">
        <f>'Table A (Boulder)'!C46+'Table A (Denver)'!C45+'Table A (UCCS)'!C43+'Table A (AMC) '!C47</f>
        <v>265716830.77239829</v>
      </c>
      <c r="D47" s="220">
        <f>'Table A (Boulder)'!D46+'Table A (Denver)'!D45+'Table A (UCCS)'!D43+'Table A (AMC) '!D47</f>
        <v>132349495.17315507</v>
      </c>
      <c r="E47" s="221">
        <f>'Table A (Boulder)'!E46+'Table A (Denver)'!E45+'Table A (UCCS)'!E43+'Table A (AMC) '!E47</f>
        <v>12315255.986537509</v>
      </c>
      <c r="F47" s="221">
        <f>'Table A (Boulder)'!F46+'Table A (Denver)'!F45+'Table A (UCCS)'!F43+'Table A (AMC) '!F47</f>
        <v>143126537.29563192</v>
      </c>
      <c r="G47" s="236">
        <f t="shared" si="5"/>
        <v>287791288.45532453</v>
      </c>
    </row>
    <row r="48" spans="1:7" s="105" customFormat="1" ht="17.100000000000001" customHeight="1">
      <c r="A48" s="224" t="s">
        <v>48</v>
      </c>
      <c r="B48" s="239">
        <f>'Table A (Boulder)'!B47+'Table A (Denver)'!B46+'Table A (UCCS)'!B44+'Table A (AMC) '!B48</f>
        <v>245780876.98792213</v>
      </c>
      <c r="C48" s="220">
        <f>'Table A (Boulder)'!C47+'Table A (Denver)'!C46+'Table A (UCCS)'!C44+'Table A (AMC) '!C48</f>
        <v>239105342.85876542</v>
      </c>
      <c r="D48" s="220">
        <f>'Table A (Boulder)'!D47+'Table A (Denver)'!D46+'Table A (UCCS)'!D44+'Table A (AMC) '!D48</f>
        <v>0</v>
      </c>
      <c r="E48" s="221">
        <f>'Table A (Boulder)'!E47+'Table A (Denver)'!E46+'Table A (UCCS)'!E44+'Table A (AMC) '!E48</f>
        <v>253014173.07378882</v>
      </c>
      <c r="F48" s="221">
        <f>'Table A (Boulder)'!F47+'Table A (Denver)'!F46+'Table A (UCCS)'!F44+'Table A (AMC) '!F48</f>
        <v>1967586.34</v>
      </c>
      <c r="G48" s="236">
        <f t="shared" si="5"/>
        <v>254981759.41378883</v>
      </c>
    </row>
    <row r="49" spans="1:7" s="105" customFormat="1" ht="17.100000000000001" customHeight="1">
      <c r="A49" s="224" t="s">
        <v>32</v>
      </c>
      <c r="B49" s="239">
        <f>'Table A (Boulder)'!B48+'Table A (Denver)'!B47+'Table A (UCCS)'!B45+'Table A (AMC) '!B49</f>
        <v>1279748401.6285028</v>
      </c>
      <c r="C49" s="220">
        <f>'Table A (Boulder)'!C48+'Table A (Denver)'!C47+'Table A (UCCS)'!C45+'Table A (AMC) '!C49</f>
        <v>1217975804.5693398</v>
      </c>
      <c r="D49" s="220">
        <f>'Table A (Boulder)'!D48+'Table A (Denver)'!D47+'Table A (UCCS)'!D45+'Table A (AMC) '!D49</f>
        <v>1629355.8667367655</v>
      </c>
      <c r="E49" s="221">
        <f>'Table A (Boulder)'!E48+'Table A (Denver)'!E47+'Table A (UCCS)'!E45+'Table A (AMC) '!E49</f>
        <v>1365540734.1086762</v>
      </c>
      <c r="F49" s="221">
        <f>'Table A (Boulder)'!F48+'Table A (Denver)'!F47+'Table A (UCCS)'!F45+'Table A (AMC) '!F49</f>
        <v>1293799.1218228536</v>
      </c>
      <c r="G49" s="236">
        <f t="shared" si="5"/>
        <v>1368463889.0972357</v>
      </c>
    </row>
    <row r="50" spans="1:7" s="105" customFormat="1" ht="17.100000000000001" customHeight="1">
      <c r="A50" s="224" t="s">
        <v>49</v>
      </c>
      <c r="B50" s="239">
        <f>'Table A (Boulder)'!B49+'Table A (Denver)'!B48+'Table A (UCCS)'!B46+'Table A (AMC) '!B50</f>
        <v>33233000</v>
      </c>
      <c r="C50" s="220">
        <f>'Table A (Boulder)'!C49+'Table A (Denver)'!C48+'Table A (UCCS)'!C46+'Table A (AMC) '!C50</f>
        <v>37548955.942599997</v>
      </c>
      <c r="D50" s="220">
        <f>'Table A (Boulder)'!D49+'Table A (Denver)'!D48+'Table A (UCCS)'!D46+'Table A (AMC) '!D50</f>
        <v>0</v>
      </c>
      <c r="E50" s="221">
        <f>'Table A (Boulder)'!E49+'Table A (Denver)'!E48+'Table A (UCCS)'!E46+'Table A (AMC) '!E50</f>
        <v>34642802.68</v>
      </c>
      <c r="F50" s="221">
        <f>'Table A (Boulder)'!F49+'Table A (Denver)'!F48+'Table A (UCCS)'!F46+'Table A (AMC) '!F50</f>
        <v>0</v>
      </c>
      <c r="G50" s="236">
        <f t="shared" si="5"/>
        <v>34642802.68</v>
      </c>
    </row>
    <row r="51" spans="1:7" s="105" customFormat="1" ht="17.100000000000001" customHeight="1">
      <c r="A51" s="222" t="s">
        <v>66</v>
      </c>
      <c r="B51" s="239">
        <f>'Table A (Boulder)'!B49+'Table A (Denver)'!B49+'Table A (AMC) '!B51</f>
        <v>2151671</v>
      </c>
      <c r="C51" s="220">
        <f>'Table A (Boulder)'!C49+'Table A (Denver)'!C49+'Table A (AMC) '!C51</f>
        <v>4303342</v>
      </c>
      <c r="D51" s="220">
        <f>'Table A (Boulder)'!D49+'Table A (Denver)'!D49+'Table A (AMC) '!D51</f>
        <v>0</v>
      </c>
      <c r="E51" s="221">
        <f>'Table A (Boulder)'!E49+'Table A (Denver)'!E49+'Table A (AMC) '!E51</f>
        <v>0</v>
      </c>
      <c r="F51" s="221">
        <f>'Table A (Boulder)'!F49+'Table A (Denver)'!F49+'Table A (AMC) '!F51</f>
        <v>0</v>
      </c>
      <c r="G51" s="236">
        <f t="shared" si="5"/>
        <v>0</v>
      </c>
    </row>
    <row r="52" spans="1:7" s="105" customFormat="1" ht="17.100000000000001" customHeight="1">
      <c r="A52" s="222" t="s">
        <v>67</v>
      </c>
      <c r="B52" s="239">
        <f>'Table A (Boulder)'!B50+'Table A (Denver)'!B50+'Table A (UCCS)'!B47+'Table A (AMC) '!B52</f>
        <v>33468930</v>
      </c>
      <c r="C52" s="220">
        <f>'Table A (Boulder)'!C50+'Table A (Denver)'!C50+'Table A (UCCS)'!C47+'Table A (AMC) '!C52</f>
        <v>13583800</v>
      </c>
      <c r="D52" s="220">
        <f>'Table A (Boulder)'!D50+'Table A (Denver)'!D50+'Table A (UCCS)'!D47+'Table A (AMC) '!D52</f>
        <v>0</v>
      </c>
      <c r="E52" s="221">
        <f>'Table A (Boulder)'!E50+'Table A (Denver)'!E50+'Table A (UCCS)'!E47+'Table A (AMC) '!E52</f>
        <v>0</v>
      </c>
      <c r="F52" s="221">
        <f>'Table A (Boulder)'!F50+'Table A (Denver)'!F50+'Table A (UCCS)'!F47+'Table A (AMC) '!F52</f>
        <v>0</v>
      </c>
      <c r="G52" s="236">
        <f t="shared" si="5"/>
        <v>0</v>
      </c>
    </row>
    <row r="53" spans="1:7" s="105" customFormat="1" ht="17.100000000000001" customHeight="1">
      <c r="A53" s="222" t="s">
        <v>68</v>
      </c>
      <c r="B53" s="239">
        <f>'Table A (Boulder)'!B51+'Table A (Denver)'!B51+'Table A (UCCS)'!B48+'Table A (AMC) '!B53</f>
        <v>50958033.731200002</v>
      </c>
      <c r="C53" s="220">
        <f>'Table A (Boulder)'!C51+'Table A (Denver)'!C51+'Table A (UCCS)'!C48+'Table A (AMC) '!C53</f>
        <v>50855663</v>
      </c>
      <c r="D53" s="220">
        <f>'Table A (Boulder)'!D51+'Table A (Denver)'!D51+'Table A (UCCS)'!D48+'Table A (AMC) '!D53</f>
        <v>0</v>
      </c>
      <c r="E53" s="221">
        <f>'Table A (Boulder)'!E51+'Table A (Denver)'!E51+'Table A (UCCS)'!E48+'Table A (AMC) '!E53</f>
        <v>0</v>
      </c>
      <c r="F53" s="221">
        <f>'Table A (Boulder)'!F51+'Table A (Denver)'!F51+'Table A (UCCS)'!F48+'Table A (AMC) '!F53</f>
        <v>0</v>
      </c>
      <c r="G53" s="236">
        <f t="shared" si="5"/>
        <v>0</v>
      </c>
    </row>
    <row r="54" spans="1:7" s="105" customFormat="1" ht="17.100000000000001" customHeight="1" thickBot="1">
      <c r="A54" s="222" t="s">
        <v>69</v>
      </c>
      <c r="B54" s="239">
        <f>'Table A (Boulder)'!B52+'Table A (Denver)'!B52+'Table A (UCCS)'!B49+'Table A (AMC) '!B54</f>
        <v>54791168</v>
      </c>
      <c r="C54" s="220">
        <f>'Table A (Boulder)'!C52+'Table A (Denver)'!C52+'Table A (UCCS)'!C49+'Table A (AMC) '!C54</f>
        <v>14860660</v>
      </c>
      <c r="D54" s="220">
        <f>'Table A (Boulder)'!D52+'Table A (Denver)'!D52+'Table A (UCCS)'!D49+'Table A (AMC) '!D54</f>
        <v>0</v>
      </c>
      <c r="E54" s="227">
        <f>'Table A (Boulder)'!E52+'Table A (Denver)'!E52+'Table A (UCCS)'!E49+'Table A (AMC) '!E54</f>
        <v>0</v>
      </c>
      <c r="F54" s="221">
        <f>'Table A (Boulder)'!F52+'Table A (Denver)'!F52+'Table A (UCCS)'!F49+'Table A (AMC) '!F54</f>
        <v>0</v>
      </c>
      <c r="G54" s="240">
        <f t="shared" si="5"/>
        <v>0</v>
      </c>
    </row>
    <row r="55" spans="1:7" s="219" customFormat="1" ht="17.100000000000001" customHeight="1" thickTop="1">
      <c r="A55" s="228" t="s">
        <v>50</v>
      </c>
      <c r="B55" s="241">
        <f t="shared" ref="B55:G55" si="6">SUM(B40:B54)</f>
        <v>5073496743.1501341</v>
      </c>
      <c r="C55" s="242">
        <f t="shared" si="6"/>
        <v>5140336498.148613</v>
      </c>
      <c r="D55" s="242">
        <f t="shared" si="6"/>
        <v>1779297788.3077097</v>
      </c>
      <c r="E55" s="243">
        <f t="shared" si="6"/>
        <v>2205048905.5746484</v>
      </c>
      <c r="F55" s="244">
        <f t="shared" si="6"/>
        <v>1364807069.966445</v>
      </c>
      <c r="G55" s="233">
        <f t="shared" si="6"/>
        <v>5349153763.8488045</v>
      </c>
    </row>
    <row r="56" spans="1:7" s="105" customFormat="1" ht="17.100000000000001" customHeight="1">
      <c r="A56" s="237" t="s">
        <v>51</v>
      </c>
      <c r="B56" s="245"/>
      <c r="C56" s="220"/>
      <c r="D56" s="220"/>
      <c r="E56" s="221"/>
      <c r="F56" s="221"/>
      <c r="G56" s="236"/>
    </row>
    <row r="57" spans="1:7" s="105" customFormat="1" ht="17.100000000000001" customHeight="1">
      <c r="A57" s="224" t="s">
        <v>52</v>
      </c>
      <c r="B57" s="239"/>
      <c r="C57" s="220"/>
      <c r="D57" s="220"/>
      <c r="E57" s="221"/>
      <c r="F57" s="221"/>
      <c r="G57" s="236"/>
    </row>
    <row r="58" spans="1:7" s="105" customFormat="1" ht="17.100000000000001" customHeight="1">
      <c r="A58" s="212" t="s">
        <v>53</v>
      </c>
      <c r="B58" s="239">
        <f>'Table A (Boulder)'!B58+'Table A (Denver)'!B57+'Table A (UCCS)'!B54+'Table A (AMC) '!B58</f>
        <v>131158323.2</v>
      </c>
      <c r="C58" s="220">
        <f>'Table A (Boulder)'!C58+'Table A (Denver)'!C57+'Table A (UCCS)'!C54+'Table A (AMC) '!C58</f>
        <v>98355860.799999997</v>
      </c>
      <c r="D58" s="220">
        <f>'Table A (Boulder)'!D58+'Table A (Denver)'!D57+'Table A (UCCS)'!D54+'Table A (AMC) '!D58</f>
        <v>16056437</v>
      </c>
      <c r="E58" s="221">
        <f>'Table A (Boulder)'!E58+'Table A (Denver)'!E57+'Table A (UCCS)'!E54+'Table A (AMC) '!E58</f>
        <v>117545135</v>
      </c>
      <c r="F58" s="221">
        <f>'Table A (Boulder)'!F58+'Table A (Denver)'!F57+'Table A (UCCS)'!F54+'Table A (AMC) '!F58</f>
        <v>0</v>
      </c>
      <c r="G58" s="236">
        <f>SUM(D58:F58)</f>
        <v>133601572</v>
      </c>
    </row>
    <row r="59" spans="1:7" s="105" customFormat="1" ht="17.100000000000001" customHeight="1">
      <c r="A59" s="212" t="s">
        <v>54</v>
      </c>
      <c r="B59" s="239">
        <f>'Table A (Boulder)'!B59+'Table A (Denver)'!B58+'Table A (UCCS)'!B55+'Table A (AMC) '!B59</f>
        <v>0</v>
      </c>
      <c r="C59" s="220">
        <f>'Table A (Boulder)'!C59+'Table A (Denver)'!C58+'Table A (UCCS)'!C55+'Table A (AMC) '!C59</f>
        <v>0</v>
      </c>
      <c r="D59" s="220">
        <f>'Table A (Boulder)'!D59+'Table A (Denver)'!D58+'Table A (UCCS)'!D55+'Table A (AMC) '!D59</f>
        <v>0</v>
      </c>
      <c r="E59" s="221">
        <f>'Table A (Boulder)'!E59+'Table A (Denver)'!E58+'Table A (UCCS)'!E55+'Table A (AMC) '!E59</f>
        <v>0</v>
      </c>
      <c r="F59" s="221">
        <f>'Table A (Boulder)'!F59+'Table A (Denver)'!F58+'Table A (UCCS)'!F55+'Table A (AMC) '!F59</f>
        <v>0</v>
      </c>
      <c r="G59" s="236">
        <f>SUM(D59:F59)</f>
        <v>0</v>
      </c>
    </row>
    <row r="60" spans="1:7" s="105" customFormat="1" ht="17.100000000000001" customHeight="1">
      <c r="A60" s="246" t="s">
        <v>55</v>
      </c>
      <c r="B60" s="239">
        <f>'Table A (Boulder)'!B60+'Table A (Denver)'!B59+'Table A (UCCS)'!B56+'Table A (AMC) '!B60</f>
        <v>0</v>
      </c>
      <c r="C60" s="220">
        <f>'Table A (Boulder)'!C60+'Table A (Denver)'!C59+'Table A (UCCS)'!C56+'Table A (AMC) '!C60</f>
        <v>0</v>
      </c>
      <c r="D60" s="220">
        <f>'Table A (Boulder)'!D60+'Table A (Denver)'!D59+'Table A (UCCS)'!D56+'Table A (AMC) '!D60</f>
        <v>0</v>
      </c>
      <c r="E60" s="247">
        <f>'Table A (Boulder)'!E60+'Table A (Denver)'!E59+'Table A (UCCS)'!E56+'Table A (AMC) '!E60</f>
        <v>0</v>
      </c>
      <c r="F60" s="221">
        <f>'Table A (Boulder)'!F60+'Table A (Denver)'!F59+'Table A (UCCS)'!F56+'Table A (AMC) '!F60</f>
        <v>0</v>
      </c>
      <c r="G60" s="236">
        <f>SUM(D60:F60)</f>
        <v>0</v>
      </c>
    </row>
    <row r="61" spans="1:7" s="105" customFormat="1" ht="17.100000000000001" customHeight="1">
      <c r="A61" s="248" t="s">
        <v>56</v>
      </c>
      <c r="B61" s="249">
        <f t="shared" ref="B61:G61" si="7">SUM(B58:B60)</f>
        <v>131158323.2</v>
      </c>
      <c r="C61" s="250">
        <f t="shared" si="7"/>
        <v>98355860.799999997</v>
      </c>
      <c r="D61" s="250">
        <f t="shared" si="7"/>
        <v>16056437</v>
      </c>
      <c r="E61" s="247">
        <f t="shared" si="7"/>
        <v>117545135</v>
      </c>
      <c r="F61" s="251">
        <f t="shared" si="7"/>
        <v>0</v>
      </c>
      <c r="G61" s="252">
        <f t="shared" si="7"/>
        <v>133601572</v>
      </c>
    </row>
    <row r="62" spans="1:7" s="105" customFormat="1" ht="17.100000000000001" customHeight="1">
      <c r="A62" s="224" t="s">
        <v>57</v>
      </c>
      <c r="B62" s="239"/>
      <c r="C62" s="220"/>
      <c r="D62" s="220"/>
      <c r="E62" s="221"/>
      <c r="F62" s="221"/>
      <c r="G62" s="236"/>
    </row>
    <row r="63" spans="1:7" s="105" customFormat="1" ht="17.100000000000001" customHeight="1">
      <c r="A63" s="212" t="s">
        <v>58</v>
      </c>
      <c r="B63" s="239">
        <f>'Table A (Boulder)'!B64+'Table A (Denver)'!B63+'Table A (UCCS)'!B60+'Table A (AMC) '!B63</f>
        <v>8021876</v>
      </c>
      <c r="C63" s="220">
        <f>'Table A (Boulder)'!C64+'Table A (Denver)'!C63+'Table A (UCCS)'!C60+'Table A (AMC) '!C63</f>
        <v>916107</v>
      </c>
      <c r="D63" s="220">
        <f>'Table A (Boulder)'!D64+'Table A (Denver)'!D63+'Table A (UCCS)'!D60+'Table A (AMC) '!D63</f>
        <v>0</v>
      </c>
      <c r="E63" s="221">
        <f>'Table A (Boulder)'!E64+'Table A (Denver)'!E63+'Table A (UCCS)'!E60+'Table A (AMC) '!E63</f>
        <v>0</v>
      </c>
      <c r="F63" s="221">
        <f>'Table A (Boulder)'!F64+'Table A (Denver)'!F63+'Table A (UCCS)'!F60+'Table A (AMC) '!F63</f>
        <v>7437608</v>
      </c>
      <c r="G63" s="236">
        <f>SUM(D63:F63)</f>
        <v>7437608</v>
      </c>
    </row>
    <row r="64" spans="1:7" s="105" customFormat="1" ht="17.100000000000001" customHeight="1">
      <c r="A64" s="246" t="s">
        <v>49</v>
      </c>
      <c r="B64" s="239">
        <f>'Table A (Boulder)'!B65+'Table A (Denver)'!B64+'Table A (UCCS)'!B61+'Table A (AMC) '!B64</f>
        <v>38639837.776187703</v>
      </c>
      <c r="C64" s="220">
        <f>'Table A (Boulder)'!C65+'Table A (Denver)'!C64+'Table A (UCCS)'!C61+'Table A (AMC) '!C64</f>
        <v>106392664.02000001</v>
      </c>
      <c r="D64" s="270">
        <f>'Table A (Boulder)'!D65+'Table A (Denver)'!D64+'Table A (UCCS)'!D61+'Table A (AMC) '!D64</f>
        <v>29481804.5</v>
      </c>
      <c r="E64" s="271">
        <f>'Table A (Boulder)'!E65+'Table A (Denver)'!E64+'Table A (UCCS)'!E61+'Table A (AMC) '!E64</f>
        <v>-252770</v>
      </c>
      <c r="F64" s="272">
        <f>'Table A (Boulder)'!F65+'Table A (Denver)'!F64+'Table A (UCCS)'!F61+'Table A (AMC) '!F64</f>
        <v>-2239605</v>
      </c>
      <c r="G64" s="236">
        <f>SUM(D64:F64)</f>
        <v>26989429.5</v>
      </c>
    </row>
    <row r="65" spans="1:7" s="105" customFormat="1" ht="17.100000000000001" customHeight="1" thickBot="1">
      <c r="A65" s="253" t="s">
        <v>59</v>
      </c>
      <c r="B65" s="254">
        <f>B63+B64</f>
        <v>46661713.776187703</v>
      </c>
      <c r="C65" s="255">
        <f>C63+C64</f>
        <v>107308771.02000001</v>
      </c>
      <c r="D65" s="256">
        <f>D63+D64</f>
        <v>29481804.5</v>
      </c>
      <c r="E65" s="269">
        <f>E63+E64</f>
        <v>-252770</v>
      </c>
      <c r="F65" s="269">
        <f>F63+F64</f>
        <v>5198003</v>
      </c>
      <c r="G65" s="257">
        <f>SUM(G63:G64)</f>
        <v>34427037.5</v>
      </c>
    </row>
    <row r="66" spans="1:7" s="219" customFormat="1" ht="17.25" customHeight="1" thickTop="1">
      <c r="A66" s="258" t="s">
        <v>60</v>
      </c>
      <c r="B66" s="259">
        <f>B55+B61+B65</f>
        <v>5251316780.1263218</v>
      </c>
      <c r="C66" s="260">
        <f>C55+C61+C65</f>
        <v>5346001129.9686136</v>
      </c>
      <c r="D66" s="260">
        <f>D55+D61+D65+2</f>
        <v>1824836031.8077097</v>
      </c>
      <c r="E66" s="261">
        <f>E55+E61+E65</f>
        <v>2322341270.5746484</v>
      </c>
      <c r="F66" s="243">
        <f>F55+F61+F65</f>
        <v>1370005072.966445</v>
      </c>
      <c r="G66" s="233">
        <f>G55+G61+G65+3</f>
        <v>5517182376.3488045</v>
      </c>
    </row>
    <row r="67" spans="1:7" s="105" customFormat="1" ht="15.75" thickBot="1">
      <c r="A67" s="262" t="s">
        <v>86</v>
      </c>
      <c r="B67" s="263">
        <f t="shared" ref="B67:G67" si="8">B36-B66</f>
        <v>-0.15840053558349609</v>
      </c>
      <c r="C67" s="264">
        <f t="shared" si="8"/>
        <v>-0.14384555816650391</v>
      </c>
      <c r="D67" s="265">
        <f t="shared" si="8"/>
        <v>-0.15351581573486328</v>
      </c>
      <c r="E67" s="266">
        <f>E36-E66-1</f>
        <v>-0.27663516998291016</v>
      </c>
      <c r="F67" s="267">
        <f t="shared" si="8"/>
        <v>5.1791191101074219E-2</v>
      </c>
      <c r="G67" s="268">
        <f t="shared" si="8"/>
        <v>-0.37836170196533203</v>
      </c>
    </row>
    <row r="68" spans="1:7">
      <c r="A68" s="327" t="s">
        <v>73</v>
      </c>
      <c r="B68" s="327"/>
      <c r="C68" s="327"/>
      <c r="D68" s="327"/>
      <c r="E68" s="327"/>
      <c r="F68" s="327"/>
      <c r="G68" s="327"/>
    </row>
    <row r="69" spans="1:7" ht="47.25" customHeight="1">
      <c r="A69" s="337" t="s">
        <v>83</v>
      </c>
      <c r="B69" s="337"/>
      <c r="C69" s="337"/>
      <c r="D69" s="337"/>
      <c r="E69" s="337"/>
      <c r="F69" s="337"/>
      <c r="G69" s="337"/>
    </row>
    <row r="70" spans="1:7" ht="135.75" customHeight="1">
      <c r="A70" s="338" t="s">
        <v>87</v>
      </c>
      <c r="B70" s="338"/>
      <c r="C70" s="338"/>
      <c r="D70" s="338"/>
      <c r="E70" s="338"/>
      <c r="F70" s="338"/>
      <c r="G70" s="338"/>
    </row>
    <row r="71" spans="1:7" ht="54.75" customHeight="1">
      <c r="A71" s="328"/>
      <c r="B71" s="329"/>
      <c r="C71" s="329"/>
      <c r="D71" s="329"/>
      <c r="E71" s="329"/>
      <c r="F71" s="329"/>
      <c r="G71" s="329"/>
    </row>
    <row r="72" spans="1:7" ht="15" customHeight="1">
      <c r="A72" s="326"/>
      <c r="B72" s="326"/>
      <c r="C72" s="326"/>
      <c r="D72" s="326"/>
      <c r="E72" s="326"/>
      <c r="F72" s="326"/>
      <c r="G72" s="326"/>
    </row>
    <row r="73" spans="1:7" s="105" customFormat="1" ht="13.5" customHeight="1">
      <c r="A73" s="107"/>
      <c r="B73" s="106"/>
      <c r="C73" s="106"/>
      <c r="D73" s="106"/>
      <c r="E73" s="106"/>
      <c r="F73" s="106"/>
      <c r="G73" s="106"/>
    </row>
    <row r="74" spans="1:7" ht="36.75" customHeight="1">
      <c r="A74" s="195"/>
      <c r="B74" s="195"/>
      <c r="C74" s="195"/>
      <c r="D74" s="195"/>
      <c r="E74" s="195"/>
      <c r="F74" s="195"/>
      <c r="G74" s="195"/>
    </row>
    <row r="75" spans="1:7">
      <c r="B75" s="104"/>
      <c r="C75" s="104"/>
      <c r="D75" s="104"/>
      <c r="E75" s="104"/>
      <c r="F75" s="104"/>
    </row>
    <row r="76" spans="1:7">
      <c r="A76" s="102"/>
      <c r="B76" s="194"/>
      <c r="C76" s="194"/>
      <c r="D76" s="194"/>
      <c r="E76" s="194"/>
      <c r="F76" s="194"/>
    </row>
  </sheetData>
  <mergeCells count="8">
    <mergeCell ref="A72:G72"/>
    <mergeCell ref="A68:G68"/>
    <mergeCell ref="A71:G71"/>
    <mergeCell ref="A5:A6"/>
    <mergeCell ref="B5:C5"/>
    <mergeCell ref="D5:G5"/>
    <mergeCell ref="A69:G69"/>
    <mergeCell ref="A70:G70"/>
  </mergeCells>
  <printOptions horizontalCentered="1"/>
  <pageMargins left="0.7" right="0.7" top="0.5" bottom="0.5" header="0.3" footer="0.3"/>
  <pageSetup scale="65" fitToWidth="0" fitToHeight="0" orientation="landscape" r:id="rId1"/>
  <headerFooter alignWithMargins="0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view="pageBreakPreview" zoomScale="80" zoomScaleNormal="70" zoomScaleSheetLayoutView="80" workbookViewId="0">
      <selection activeCell="A2" sqref="A2"/>
    </sheetView>
  </sheetViews>
  <sheetFormatPr defaultRowHeight="15.75"/>
  <cols>
    <col min="1" max="1" width="55.5703125" style="100" customWidth="1"/>
    <col min="2" max="3" width="19.7109375" style="100" customWidth="1"/>
    <col min="4" max="7" width="19.7109375" style="101" customWidth="1"/>
  </cols>
  <sheetData>
    <row r="1" spans="1:7">
      <c r="A1" s="69" t="s">
        <v>0</v>
      </c>
      <c r="B1" s="69"/>
      <c r="C1" s="69"/>
      <c r="D1" s="69"/>
      <c r="E1" s="69"/>
      <c r="F1" s="69"/>
      <c r="G1" s="69"/>
    </row>
    <row r="2" spans="1:7">
      <c r="A2" s="69" t="s">
        <v>1</v>
      </c>
      <c r="B2" s="69"/>
      <c r="C2" s="69"/>
      <c r="D2" s="69"/>
      <c r="E2" s="69"/>
      <c r="F2" s="69"/>
      <c r="G2" s="69"/>
    </row>
    <row r="3" spans="1:7">
      <c r="A3" s="70" t="s">
        <v>63</v>
      </c>
      <c r="B3" s="70"/>
      <c r="C3" s="70"/>
      <c r="D3" s="70"/>
      <c r="E3" s="70"/>
      <c r="F3" s="70"/>
      <c r="G3" s="70"/>
    </row>
    <row r="4" spans="1:7" ht="16.5" thickBot="1">
      <c r="A4" s="71"/>
      <c r="B4" s="72"/>
      <c r="C4" s="72"/>
      <c r="D4" s="72"/>
      <c r="E4" s="71"/>
      <c r="F4" s="71"/>
      <c r="G4" s="71"/>
    </row>
    <row r="5" spans="1:7" ht="16.5" thickBot="1">
      <c r="A5" s="339" t="s">
        <v>3</v>
      </c>
      <c r="B5" s="341" t="s">
        <v>4</v>
      </c>
      <c r="C5" s="342"/>
      <c r="D5" s="343" t="s">
        <v>5</v>
      </c>
      <c r="E5" s="344"/>
      <c r="F5" s="344"/>
      <c r="G5" s="345"/>
    </row>
    <row r="6" spans="1:7" ht="48" thickBot="1">
      <c r="A6" s="340"/>
      <c r="B6" s="73" t="s">
        <v>6</v>
      </c>
      <c r="C6" s="73" t="s">
        <v>7</v>
      </c>
      <c r="D6" s="74" t="s">
        <v>8</v>
      </c>
      <c r="E6" s="75" t="s">
        <v>9</v>
      </c>
      <c r="F6" s="75" t="s">
        <v>10</v>
      </c>
      <c r="G6" s="73" t="s">
        <v>11</v>
      </c>
    </row>
    <row r="7" spans="1:7">
      <c r="A7" s="76" t="s">
        <v>12</v>
      </c>
      <c r="B7" s="77"/>
      <c r="C7" s="78"/>
      <c r="D7" s="79"/>
      <c r="E7" s="80"/>
      <c r="F7" s="80"/>
      <c r="G7" s="81"/>
    </row>
    <row r="8" spans="1:7">
      <c r="A8" s="82" t="s">
        <v>13</v>
      </c>
      <c r="B8" s="83"/>
      <c r="C8" s="84"/>
      <c r="D8" s="85"/>
      <c r="E8" s="86"/>
      <c r="F8" s="86"/>
      <c r="G8" s="84"/>
    </row>
    <row r="9" spans="1:7">
      <c r="A9" s="87" t="s">
        <v>14</v>
      </c>
      <c r="B9" s="88">
        <v>42293747</v>
      </c>
      <c r="C9" s="88">
        <v>42293747</v>
      </c>
      <c r="D9" s="85">
        <v>47348114</v>
      </c>
      <c r="E9" s="89">
        <v>0</v>
      </c>
      <c r="F9" s="86">
        <v>0</v>
      </c>
      <c r="G9" s="84">
        <v>47348114</v>
      </c>
    </row>
    <row r="10" spans="1:7">
      <c r="A10" s="87" t="s">
        <v>15</v>
      </c>
      <c r="B10" s="88">
        <v>261357278</v>
      </c>
      <c r="C10" s="88">
        <v>255985776</v>
      </c>
      <c r="D10" s="85">
        <v>274178810</v>
      </c>
      <c r="E10" s="89">
        <v>0</v>
      </c>
      <c r="F10" s="86">
        <v>0</v>
      </c>
      <c r="G10" s="84">
        <v>274178810</v>
      </c>
    </row>
    <row r="11" spans="1:7">
      <c r="A11" s="87" t="s">
        <v>16</v>
      </c>
      <c r="B11" s="88">
        <v>533782102</v>
      </c>
      <c r="C11" s="88">
        <v>542396794</v>
      </c>
      <c r="D11" s="85">
        <v>568856317</v>
      </c>
      <c r="E11" s="89">
        <v>0</v>
      </c>
      <c r="F11" s="86">
        <v>0</v>
      </c>
      <c r="G11" s="84">
        <v>568856317</v>
      </c>
    </row>
    <row r="12" spans="1:7">
      <c r="A12" s="87" t="s">
        <v>17</v>
      </c>
      <c r="B12" s="88">
        <v>35610044.700000003</v>
      </c>
      <c r="C12" s="88">
        <v>37044803</v>
      </c>
      <c r="D12" s="85">
        <v>0</v>
      </c>
      <c r="E12" s="89">
        <v>38156147.090000004</v>
      </c>
      <c r="F12" s="86">
        <v>0</v>
      </c>
      <c r="G12" s="84">
        <v>38156147.090000004</v>
      </c>
    </row>
    <row r="13" spans="1:7">
      <c r="A13" s="90" t="s">
        <v>18</v>
      </c>
      <c r="B13" s="88">
        <v>62377202</v>
      </c>
      <c r="C13" s="88">
        <v>58755883</v>
      </c>
      <c r="D13" s="85">
        <v>8892341</v>
      </c>
      <c r="E13" s="89">
        <v>42096569</v>
      </c>
      <c r="F13" s="86">
        <v>0</v>
      </c>
      <c r="G13" s="84">
        <v>50988910</v>
      </c>
    </row>
    <row r="14" spans="1:7">
      <c r="A14" s="91" t="s">
        <v>19</v>
      </c>
      <c r="B14" s="92">
        <f t="shared" ref="B14:G14" si="0">SUM(B9:B13)</f>
        <v>935420373.70000005</v>
      </c>
      <c r="C14" s="92">
        <f t="shared" si="0"/>
        <v>936477003</v>
      </c>
      <c r="D14" s="93">
        <f t="shared" si="0"/>
        <v>899275582</v>
      </c>
      <c r="E14" s="94">
        <f t="shared" si="0"/>
        <v>80252716.090000004</v>
      </c>
      <c r="F14" s="95">
        <f t="shared" si="0"/>
        <v>0</v>
      </c>
      <c r="G14" s="92">
        <f t="shared" si="0"/>
        <v>979528298.09000003</v>
      </c>
    </row>
    <row r="15" spans="1:7">
      <c r="A15" s="82" t="s">
        <v>20</v>
      </c>
      <c r="B15" s="88">
        <v>107284</v>
      </c>
      <c r="C15" s="88">
        <v>26050</v>
      </c>
      <c r="D15" s="85">
        <v>0</v>
      </c>
      <c r="E15" s="89">
        <v>0</v>
      </c>
      <c r="F15" s="86">
        <v>66667</v>
      </c>
      <c r="G15" s="84">
        <v>66667</v>
      </c>
    </row>
    <row r="16" spans="1:7">
      <c r="A16" s="82" t="s">
        <v>21</v>
      </c>
      <c r="B16" s="88">
        <v>0</v>
      </c>
      <c r="C16" s="88">
        <v>0</v>
      </c>
      <c r="D16" s="85"/>
      <c r="E16" s="89"/>
      <c r="F16" s="86"/>
      <c r="G16" s="84"/>
    </row>
    <row r="17" spans="1:7">
      <c r="A17" s="87" t="s">
        <v>22</v>
      </c>
      <c r="B17" s="88">
        <v>364436041</v>
      </c>
      <c r="C17" s="88">
        <v>405021353</v>
      </c>
      <c r="D17" s="85">
        <v>0</v>
      </c>
      <c r="E17" s="89">
        <v>0</v>
      </c>
      <c r="F17" s="86">
        <v>425272420.65000004</v>
      </c>
      <c r="G17" s="84">
        <v>425272420.65000004</v>
      </c>
    </row>
    <row r="18" spans="1:7">
      <c r="A18" s="87" t="s">
        <v>23</v>
      </c>
      <c r="B18" s="88">
        <v>3110606</v>
      </c>
      <c r="C18" s="88">
        <v>4405551</v>
      </c>
      <c r="D18" s="85">
        <v>0</v>
      </c>
      <c r="E18" s="89">
        <v>0</v>
      </c>
      <c r="F18" s="86">
        <v>4625828.55</v>
      </c>
      <c r="G18" s="84">
        <v>4625828.55</v>
      </c>
    </row>
    <row r="19" spans="1:7">
      <c r="A19" s="87" t="s">
        <v>64</v>
      </c>
      <c r="B19" s="88">
        <v>0</v>
      </c>
      <c r="C19" s="88">
        <v>0</v>
      </c>
      <c r="D19" s="85">
        <v>0</v>
      </c>
      <c r="E19" s="89">
        <v>0</v>
      </c>
      <c r="F19" s="86">
        <v>0</v>
      </c>
      <c r="G19" s="84">
        <v>0</v>
      </c>
    </row>
    <row r="20" spans="1:7">
      <c r="A20" s="273" t="s">
        <v>65</v>
      </c>
      <c r="B20" s="274">
        <v>56460058</v>
      </c>
      <c r="C20" s="274">
        <v>56460058</v>
      </c>
      <c r="D20" s="275">
        <v>55027919</v>
      </c>
      <c r="E20" s="276">
        <v>0</v>
      </c>
      <c r="F20" s="277">
        <v>0</v>
      </c>
      <c r="G20" s="278">
        <v>55027919</v>
      </c>
    </row>
    <row r="21" spans="1:7">
      <c r="A21" s="28" t="s">
        <v>66</v>
      </c>
      <c r="B21" s="274">
        <v>0</v>
      </c>
      <c r="C21" s="274">
        <v>0</v>
      </c>
      <c r="D21" s="275">
        <v>0</v>
      </c>
      <c r="E21" s="276">
        <v>0</v>
      </c>
      <c r="F21" s="277">
        <v>0</v>
      </c>
      <c r="G21" s="278">
        <v>0</v>
      </c>
    </row>
    <row r="22" spans="1:7">
      <c r="A22" s="28" t="s">
        <v>67</v>
      </c>
      <c r="B22" s="274">
        <v>17985130</v>
      </c>
      <c r="C22" s="274">
        <v>0</v>
      </c>
      <c r="D22" s="275">
        <v>0</v>
      </c>
      <c r="E22" s="276">
        <v>0</v>
      </c>
      <c r="F22" s="277">
        <v>0</v>
      </c>
      <c r="G22" s="278">
        <v>0</v>
      </c>
    </row>
    <row r="23" spans="1:7">
      <c r="A23" s="28" t="s">
        <v>68</v>
      </c>
      <c r="B23" s="274">
        <v>25557767</v>
      </c>
      <c r="C23" s="274">
        <v>25455396</v>
      </c>
      <c r="D23" s="275">
        <v>0</v>
      </c>
      <c r="E23" s="276">
        <v>0</v>
      </c>
      <c r="F23" s="277">
        <v>0</v>
      </c>
      <c r="G23" s="278">
        <v>0</v>
      </c>
    </row>
    <row r="24" spans="1:7">
      <c r="A24" s="28" t="s">
        <v>69</v>
      </c>
      <c r="B24" s="274">
        <v>25447769</v>
      </c>
      <c r="C24" s="274">
        <v>1143291</v>
      </c>
      <c r="D24" s="275">
        <v>0</v>
      </c>
      <c r="E24" s="276">
        <v>0</v>
      </c>
      <c r="F24" s="277">
        <v>0</v>
      </c>
      <c r="G24" s="278">
        <v>0</v>
      </c>
    </row>
    <row r="25" spans="1:7">
      <c r="A25" s="28" t="s">
        <v>88</v>
      </c>
      <c r="B25" s="274">
        <v>0</v>
      </c>
      <c r="C25" s="274">
        <v>0</v>
      </c>
      <c r="D25" s="275">
        <v>0</v>
      </c>
      <c r="E25" s="276">
        <v>0</v>
      </c>
      <c r="F25" s="277">
        <v>0</v>
      </c>
      <c r="G25" s="278">
        <v>0</v>
      </c>
    </row>
    <row r="26" spans="1:7">
      <c r="A26" s="279" t="s">
        <v>28</v>
      </c>
      <c r="B26" s="280">
        <f t="shared" ref="B26:G26" si="1">SUM(B15:B25)</f>
        <v>493104655</v>
      </c>
      <c r="C26" s="280">
        <f t="shared" si="1"/>
        <v>492511699</v>
      </c>
      <c r="D26" s="281">
        <f t="shared" si="1"/>
        <v>55027919</v>
      </c>
      <c r="E26" s="282">
        <f t="shared" si="1"/>
        <v>0</v>
      </c>
      <c r="F26" s="283">
        <f t="shared" si="1"/>
        <v>429964916.20000005</v>
      </c>
      <c r="G26" s="280">
        <f t="shared" si="1"/>
        <v>484992835.20000005</v>
      </c>
    </row>
    <row r="27" spans="1:7">
      <c r="A27" s="284" t="s">
        <v>29</v>
      </c>
      <c r="B27" s="274">
        <v>203345181</v>
      </c>
      <c r="C27" s="274">
        <v>204390782</v>
      </c>
      <c r="D27" s="275">
        <v>0</v>
      </c>
      <c r="E27" s="276">
        <v>0</v>
      </c>
      <c r="F27" s="277">
        <v>210522505.46000001</v>
      </c>
      <c r="G27" s="278">
        <v>210522505.46000001</v>
      </c>
    </row>
    <row r="28" spans="1:7">
      <c r="A28" s="284" t="s">
        <v>30</v>
      </c>
      <c r="B28" s="274">
        <v>27890367</v>
      </c>
      <c r="C28" s="274">
        <v>29524364</v>
      </c>
      <c r="D28" s="275">
        <v>0</v>
      </c>
      <c r="E28" s="276">
        <v>30410094.920000002</v>
      </c>
      <c r="F28" s="277">
        <v>0</v>
      </c>
      <c r="G28" s="278">
        <v>30410094.920000002</v>
      </c>
    </row>
    <row r="29" spans="1:7">
      <c r="A29" s="284" t="s">
        <v>31</v>
      </c>
      <c r="B29" s="274">
        <v>225722724</v>
      </c>
      <c r="C29" s="274">
        <v>253965021</v>
      </c>
      <c r="D29" s="275">
        <v>0</v>
      </c>
      <c r="E29" s="276">
        <v>280040947.88999999</v>
      </c>
      <c r="F29" s="277">
        <v>0</v>
      </c>
      <c r="G29" s="278">
        <v>280040947.88999999</v>
      </c>
    </row>
    <row r="30" spans="1:7">
      <c r="A30" s="284" t="s">
        <v>32</v>
      </c>
      <c r="B30" s="274">
        <v>0</v>
      </c>
      <c r="C30" s="274">
        <v>0</v>
      </c>
      <c r="D30" s="275"/>
      <c r="E30" s="276"/>
      <c r="F30" s="277"/>
      <c r="G30" s="278"/>
    </row>
    <row r="31" spans="1:7">
      <c r="A31" s="284" t="s">
        <v>33</v>
      </c>
      <c r="B31" s="274">
        <v>0</v>
      </c>
      <c r="C31" s="274">
        <v>0</v>
      </c>
      <c r="D31" s="275"/>
      <c r="E31" s="276"/>
      <c r="F31" s="277"/>
      <c r="G31" s="278"/>
    </row>
    <row r="32" spans="1:7">
      <c r="A32" s="285" t="s">
        <v>34</v>
      </c>
      <c r="B32" s="274">
        <v>113048151.06215572</v>
      </c>
      <c r="C32" s="274">
        <v>125351483</v>
      </c>
      <c r="D32" s="275">
        <v>77737507</v>
      </c>
      <c r="E32" s="276">
        <v>53881550.150000006</v>
      </c>
      <c r="F32" s="277">
        <v>0</v>
      </c>
      <c r="G32" s="278">
        <v>131619057.15000001</v>
      </c>
    </row>
    <row r="33" spans="1:7">
      <c r="A33" s="285" t="s">
        <v>35</v>
      </c>
      <c r="B33" s="274">
        <v>0</v>
      </c>
      <c r="C33" s="274">
        <v>0</v>
      </c>
      <c r="D33" s="275"/>
      <c r="E33" s="276"/>
      <c r="F33" s="277"/>
      <c r="G33" s="278"/>
    </row>
    <row r="34" spans="1:7" ht="16.5" thickBot="1">
      <c r="A34" s="286" t="s">
        <v>36</v>
      </c>
      <c r="B34" s="274">
        <v>27398434</v>
      </c>
      <c r="C34" s="274">
        <v>26358495</v>
      </c>
      <c r="D34" s="275">
        <v>6519487</v>
      </c>
      <c r="E34" s="276">
        <v>19434682.719999999</v>
      </c>
      <c r="F34" s="277">
        <v>0</v>
      </c>
      <c r="G34" s="278">
        <v>25954169.719999999</v>
      </c>
    </row>
    <row r="35" spans="1:7" ht="16.5" thickTop="1">
      <c r="A35" s="287" t="s">
        <v>37</v>
      </c>
      <c r="B35" s="288">
        <f>SUM(B27:B34)+B14+B26</f>
        <v>2025929885.7621558</v>
      </c>
      <c r="C35" s="288">
        <f>SUM(C27:C34)+C14+C26</f>
        <v>2068578847</v>
      </c>
      <c r="D35" s="289">
        <f>D14+D26+SUM(D27:D34)</f>
        <v>1038560495</v>
      </c>
      <c r="E35" s="290">
        <f>E14+E26+SUM(E27:E34)</f>
        <v>464019991.7700001</v>
      </c>
      <c r="F35" s="291">
        <f>F14+F26+SUM(F27:F34)</f>
        <v>640487421.66000009</v>
      </c>
      <c r="G35" s="288">
        <f>G14+G26+SUM(G27:G34)</f>
        <v>2143067908.4299998</v>
      </c>
    </row>
    <row r="36" spans="1:7">
      <c r="A36" s="284"/>
      <c r="B36" s="274"/>
      <c r="C36" s="278"/>
      <c r="D36" s="275"/>
      <c r="E36" s="276"/>
      <c r="F36" s="277"/>
      <c r="G36" s="278"/>
    </row>
    <row r="37" spans="1:7">
      <c r="A37" s="292" t="s">
        <v>38</v>
      </c>
      <c r="B37" s="293"/>
      <c r="C37" s="278"/>
      <c r="D37" s="275"/>
      <c r="E37" s="276"/>
      <c r="F37" s="277"/>
      <c r="G37" s="278"/>
    </row>
    <row r="38" spans="1:7">
      <c r="A38" s="284" t="s">
        <v>39</v>
      </c>
      <c r="B38" s="274"/>
      <c r="C38" s="278"/>
      <c r="D38" s="275"/>
      <c r="E38" s="276"/>
      <c r="F38" s="277"/>
      <c r="G38" s="278"/>
    </row>
    <row r="39" spans="1:7">
      <c r="A39" s="285" t="s">
        <v>40</v>
      </c>
      <c r="B39" s="274">
        <v>630014429.32000005</v>
      </c>
      <c r="C39" s="274">
        <v>635805295.04764342</v>
      </c>
      <c r="D39" s="275">
        <v>556394895</v>
      </c>
      <c r="E39" s="276">
        <v>42888849.888596274</v>
      </c>
      <c r="F39" s="277">
        <v>61930441.259999998</v>
      </c>
      <c r="G39" s="278">
        <v>661214188</v>
      </c>
    </row>
    <row r="40" spans="1:7">
      <c r="A40" s="285" t="s">
        <v>41</v>
      </c>
      <c r="B40" s="274">
        <v>425523670.70860004</v>
      </c>
      <c r="C40" s="274">
        <v>468022581.36842835</v>
      </c>
      <c r="D40" s="275">
        <v>9974639</v>
      </c>
      <c r="E40" s="276">
        <v>467962.09579693794</v>
      </c>
      <c r="F40" s="277">
        <v>479601988.30000001</v>
      </c>
      <c r="G40" s="278">
        <v>490044589.39579695</v>
      </c>
    </row>
    <row r="41" spans="1:7">
      <c r="A41" s="285" t="s">
        <v>42</v>
      </c>
      <c r="B41" s="274">
        <v>17695094.199999999</v>
      </c>
      <c r="C41" s="274">
        <v>17229869.420972366</v>
      </c>
      <c r="D41" s="275">
        <v>497964</v>
      </c>
      <c r="E41" s="276">
        <v>5049739.9293918125</v>
      </c>
      <c r="F41" s="277">
        <v>12175297.310000001</v>
      </c>
      <c r="G41" s="278">
        <v>17723001.239391811</v>
      </c>
    </row>
    <row r="42" spans="1:7">
      <c r="A42" s="285" t="s">
        <v>43</v>
      </c>
      <c r="B42" s="274">
        <v>152262025.63999999</v>
      </c>
      <c r="C42" s="274">
        <v>165735739.74156585</v>
      </c>
      <c r="D42" s="275">
        <v>142053753</v>
      </c>
      <c r="E42" s="276">
        <v>28177333.476397172</v>
      </c>
      <c r="F42" s="277">
        <v>5209317.7</v>
      </c>
      <c r="G42" s="278">
        <v>175440404.17639714</v>
      </c>
    </row>
    <row r="43" spans="1:7">
      <c r="A43" s="285" t="s">
        <v>44</v>
      </c>
      <c r="B43" s="274">
        <v>103504557.22</v>
      </c>
      <c r="C43" s="274">
        <v>111130590.958717</v>
      </c>
      <c r="D43" s="275">
        <v>50032680</v>
      </c>
      <c r="E43" s="276">
        <v>64083026.897891343</v>
      </c>
      <c r="F43" s="277">
        <v>2197872.71</v>
      </c>
      <c r="G43" s="278">
        <v>116313579.60789134</v>
      </c>
    </row>
    <row r="44" spans="1:7">
      <c r="A44" s="285" t="s">
        <v>45</v>
      </c>
      <c r="B44" s="274">
        <v>94653117.549999997</v>
      </c>
      <c r="C44" s="274">
        <v>94528510.978983074</v>
      </c>
      <c r="D44" s="275">
        <v>90226902</v>
      </c>
      <c r="E44" s="276">
        <v>10582465.298562732</v>
      </c>
      <c r="F44" s="277">
        <v>0</v>
      </c>
      <c r="G44" s="278">
        <v>100809367.29856274</v>
      </c>
    </row>
    <row r="45" spans="1:7">
      <c r="A45" s="285" t="s">
        <v>46</v>
      </c>
      <c r="B45" s="274">
        <v>113005873.7</v>
      </c>
      <c r="C45" s="274">
        <v>116609055</v>
      </c>
      <c r="D45" s="275">
        <v>102559199</v>
      </c>
      <c r="E45" s="276">
        <v>0</v>
      </c>
      <c r="F45" s="277">
        <v>19441634.190000001</v>
      </c>
      <c r="G45" s="278">
        <v>122000833.19</v>
      </c>
    </row>
    <row r="46" spans="1:7">
      <c r="A46" s="285" t="s">
        <v>47</v>
      </c>
      <c r="B46" s="274">
        <v>147512855.19</v>
      </c>
      <c r="C46" s="274">
        <v>147362923</v>
      </c>
      <c r="D46" s="275">
        <v>86820461</v>
      </c>
      <c r="E46" s="276">
        <v>10628476.5</v>
      </c>
      <c r="F46" s="277">
        <v>57963283.990000002</v>
      </c>
      <c r="G46" s="278">
        <v>155412221.49000001</v>
      </c>
    </row>
    <row r="47" spans="1:7">
      <c r="A47" s="284" t="s">
        <v>48</v>
      </c>
      <c r="B47" s="274">
        <v>194582208.46605036</v>
      </c>
      <c r="C47" s="274">
        <v>189872694</v>
      </c>
      <c r="D47" s="275">
        <v>0</v>
      </c>
      <c r="E47" s="276">
        <v>202999409.28</v>
      </c>
      <c r="F47" s="277">
        <v>1967586.34</v>
      </c>
      <c r="G47" s="278">
        <v>204966995.62</v>
      </c>
    </row>
    <row r="48" spans="1:7">
      <c r="A48" s="284" t="s">
        <v>32</v>
      </c>
      <c r="B48" s="274"/>
      <c r="C48" s="274"/>
      <c r="D48" s="275"/>
      <c r="E48" s="276"/>
      <c r="F48" s="277"/>
      <c r="G48" s="278"/>
    </row>
    <row r="49" spans="1:7">
      <c r="A49" s="28" t="s">
        <v>66</v>
      </c>
      <c r="B49" s="274">
        <v>0</v>
      </c>
      <c r="C49" s="274">
        <v>0</v>
      </c>
      <c r="D49" s="275">
        <v>0</v>
      </c>
      <c r="E49" s="276">
        <v>0</v>
      </c>
      <c r="F49" s="277">
        <v>0</v>
      </c>
      <c r="G49" s="278">
        <v>0</v>
      </c>
    </row>
    <row r="50" spans="1:7">
      <c r="A50" s="28" t="s">
        <v>67</v>
      </c>
      <c r="B50" s="274">
        <v>17985130</v>
      </c>
      <c r="C50" s="274">
        <v>0</v>
      </c>
      <c r="D50" s="275">
        <v>0</v>
      </c>
      <c r="E50" s="276">
        <v>0</v>
      </c>
      <c r="F50" s="277">
        <v>0</v>
      </c>
      <c r="G50" s="278">
        <v>0</v>
      </c>
    </row>
    <row r="51" spans="1:7">
      <c r="A51" s="28" t="s">
        <v>68</v>
      </c>
      <c r="B51" s="274">
        <v>25557767</v>
      </c>
      <c r="C51" s="274">
        <v>25455396</v>
      </c>
      <c r="D51" s="275">
        <v>0</v>
      </c>
      <c r="E51" s="276">
        <v>0</v>
      </c>
      <c r="F51" s="277">
        <v>0</v>
      </c>
      <c r="G51" s="278">
        <v>0</v>
      </c>
    </row>
    <row r="52" spans="1:7">
      <c r="A52" s="28" t="s">
        <v>69</v>
      </c>
      <c r="B52" s="274">
        <v>25447769</v>
      </c>
      <c r="C52" s="274">
        <v>1143291</v>
      </c>
      <c r="D52" s="275">
        <v>0</v>
      </c>
      <c r="E52" s="276">
        <v>0</v>
      </c>
      <c r="F52" s="277">
        <v>0</v>
      </c>
      <c r="G52" s="278">
        <v>0</v>
      </c>
    </row>
    <row r="53" spans="1:7" ht="16.5" thickBot="1">
      <c r="A53" s="28" t="s">
        <v>88</v>
      </c>
      <c r="B53" s="274">
        <v>0</v>
      </c>
      <c r="C53" s="274">
        <v>0</v>
      </c>
      <c r="D53" s="275">
        <v>0</v>
      </c>
      <c r="E53" s="276">
        <v>0</v>
      </c>
      <c r="F53" s="277">
        <v>0</v>
      </c>
      <c r="G53" s="278">
        <v>0</v>
      </c>
    </row>
    <row r="54" spans="1:7" ht="16.5" thickTop="1">
      <c r="A54" s="287" t="s">
        <v>50</v>
      </c>
      <c r="B54" s="288">
        <f t="shared" ref="B54:G54" si="2">SUM(B39:B53)</f>
        <v>1947744497.9946506</v>
      </c>
      <c r="C54" s="288">
        <f t="shared" si="2"/>
        <v>1972895946.5163105</v>
      </c>
      <c r="D54" s="289">
        <f t="shared" si="2"/>
        <v>1038560493</v>
      </c>
      <c r="E54" s="290">
        <f t="shared" si="2"/>
        <v>364877263.36663628</v>
      </c>
      <c r="F54" s="291">
        <f t="shared" si="2"/>
        <v>640487421.80000019</v>
      </c>
      <c r="G54" s="288">
        <f t="shared" si="2"/>
        <v>2043925180.0180402</v>
      </c>
    </row>
    <row r="55" spans="1:7">
      <c r="A55" s="82"/>
      <c r="B55" s="88"/>
      <c r="C55" s="96"/>
      <c r="D55" s="85"/>
      <c r="E55" s="89"/>
      <c r="F55" s="86"/>
      <c r="G55" s="84"/>
    </row>
    <row r="56" spans="1:7">
      <c r="A56" s="76" t="s">
        <v>51</v>
      </c>
      <c r="B56" s="97"/>
      <c r="C56" s="96"/>
      <c r="D56" s="85"/>
      <c r="E56" s="89"/>
      <c r="F56" s="86"/>
      <c r="G56" s="84"/>
    </row>
    <row r="57" spans="1:7">
      <c r="A57" s="82" t="s">
        <v>52</v>
      </c>
      <c r="B57" s="88"/>
      <c r="C57" s="88"/>
      <c r="D57" s="85"/>
      <c r="E57" s="89"/>
      <c r="F57" s="86"/>
      <c r="G57" s="84"/>
    </row>
    <row r="58" spans="1:7">
      <c r="A58" s="87" t="s">
        <v>53</v>
      </c>
      <c r="B58" s="88">
        <v>45992613</v>
      </c>
      <c r="C58" s="88">
        <v>46878783</v>
      </c>
      <c r="D58" s="85">
        <v>0</v>
      </c>
      <c r="E58" s="89">
        <v>67811729</v>
      </c>
      <c r="F58" s="86">
        <v>0</v>
      </c>
      <c r="G58" s="84">
        <v>67811729</v>
      </c>
    </row>
    <row r="59" spans="1:7">
      <c r="A59" s="87" t="s">
        <v>54</v>
      </c>
      <c r="B59" s="88">
        <v>0</v>
      </c>
      <c r="C59" s="88">
        <v>0</v>
      </c>
      <c r="D59" s="85">
        <v>0</v>
      </c>
      <c r="E59" s="89">
        <v>0</v>
      </c>
      <c r="F59" s="86">
        <v>0</v>
      </c>
      <c r="G59" s="84">
        <v>0</v>
      </c>
    </row>
    <row r="60" spans="1:7">
      <c r="A60" s="90" t="s">
        <v>55</v>
      </c>
      <c r="B60" s="88">
        <v>0</v>
      </c>
      <c r="C60" s="88">
        <v>0</v>
      </c>
      <c r="D60" s="85">
        <v>0</v>
      </c>
      <c r="E60" s="89">
        <v>0</v>
      </c>
      <c r="F60" s="86">
        <v>0</v>
      </c>
      <c r="G60" s="84">
        <v>0</v>
      </c>
    </row>
    <row r="61" spans="1:7">
      <c r="A61" s="98" t="s">
        <v>56</v>
      </c>
      <c r="B61" s="92">
        <f t="shared" ref="B61:G61" si="3">SUM(B58:B60)</f>
        <v>45992613</v>
      </c>
      <c r="C61" s="92">
        <f t="shared" si="3"/>
        <v>46878783</v>
      </c>
      <c r="D61" s="93">
        <f t="shared" si="3"/>
        <v>0</v>
      </c>
      <c r="E61" s="94">
        <f t="shared" si="3"/>
        <v>67811729</v>
      </c>
      <c r="F61" s="95">
        <f t="shared" si="3"/>
        <v>0</v>
      </c>
      <c r="G61" s="92">
        <f t="shared" si="3"/>
        <v>67811729</v>
      </c>
    </row>
    <row r="62" spans="1:7">
      <c r="A62" s="82"/>
      <c r="B62" s="88"/>
      <c r="C62" s="96"/>
      <c r="D62" s="85"/>
      <c r="E62" s="89"/>
      <c r="F62" s="86"/>
      <c r="G62" s="84"/>
    </row>
    <row r="63" spans="1:7">
      <c r="A63" s="82" t="s">
        <v>57</v>
      </c>
      <c r="B63" s="88"/>
      <c r="C63" s="96"/>
      <c r="D63" s="85"/>
      <c r="E63" s="89"/>
      <c r="F63" s="86"/>
      <c r="G63" s="84"/>
    </row>
    <row r="64" spans="1:7">
      <c r="A64" s="87" t="s">
        <v>58</v>
      </c>
      <c r="B64" s="88">
        <v>0</v>
      </c>
      <c r="C64" s="88">
        <v>0</v>
      </c>
      <c r="D64" s="85">
        <v>0</v>
      </c>
      <c r="E64" s="89">
        <v>0</v>
      </c>
      <c r="F64" s="86">
        <v>0</v>
      </c>
      <c r="G64" s="84">
        <v>0</v>
      </c>
    </row>
    <row r="65" spans="1:7">
      <c r="A65" s="90" t="s">
        <v>49</v>
      </c>
      <c r="B65" s="88">
        <v>32192775</v>
      </c>
      <c r="C65" s="88">
        <v>48804117</v>
      </c>
      <c r="D65" s="85">
        <v>0</v>
      </c>
      <c r="E65" s="89">
        <v>31330999</v>
      </c>
      <c r="F65" s="86">
        <v>0</v>
      </c>
      <c r="G65" s="84">
        <v>31330999</v>
      </c>
    </row>
    <row r="66" spans="1:7" ht="16.5" thickBot="1">
      <c r="A66" s="294" t="s">
        <v>59</v>
      </c>
      <c r="B66" s="295">
        <f t="shared" ref="B66:G66" si="4">SUM(B64:B65)</f>
        <v>32192775</v>
      </c>
      <c r="C66" s="295">
        <f t="shared" si="4"/>
        <v>48804117</v>
      </c>
      <c r="D66" s="296">
        <f t="shared" si="4"/>
        <v>0</v>
      </c>
      <c r="E66" s="297">
        <f t="shared" si="4"/>
        <v>31330999</v>
      </c>
      <c r="F66" s="298">
        <f t="shared" si="4"/>
        <v>0</v>
      </c>
      <c r="G66" s="295">
        <f t="shared" si="4"/>
        <v>31330999</v>
      </c>
    </row>
    <row r="67" spans="1:7" ht="16.5" thickTop="1">
      <c r="A67" s="299" t="s">
        <v>60</v>
      </c>
      <c r="B67" s="300">
        <f t="shared" ref="B67:G67" si="5">B54+B61+B66</f>
        <v>2025929885.9946506</v>
      </c>
      <c r="C67" s="300">
        <f t="shared" si="5"/>
        <v>2068578846.5163105</v>
      </c>
      <c r="D67" s="301">
        <f t="shared" si="5"/>
        <v>1038560493</v>
      </c>
      <c r="E67" s="302">
        <f t="shared" si="5"/>
        <v>464019991.36663628</v>
      </c>
      <c r="F67" s="303">
        <f t="shared" si="5"/>
        <v>640487421.80000019</v>
      </c>
      <c r="G67" s="300">
        <f t="shared" si="5"/>
        <v>2143067908.0180402</v>
      </c>
    </row>
    <row r="68" spans="1:7">
      <c r="A68" s="304" t="s">
        <v>70</v>
      </c>
      <c r="B68" s="293"/>
      <c r="C68" s="293"/>
      <c r="D68" s="305"/>
      <c r="E68" s="306"/>
      <c r="F68" s="307"/>
      <c r="G68" s="293"/>
    </row>
    <row r="69" spans="1:7">
      <c r="A69" s="28" t="s">
        <v>66</v>
      </c>
      <c r="B69" s="274">
        <v>0</v>
      </c>
      <c r="C69" s="274">
        <v>0</v>
      </c>
      <c r="D69" s="239">
        <v>0</v>
      </c>
      <c r="E69" s="276">
        <v>0</v>
      </c>
      <c r="F69" s="308">
        <v>0</v>
      </c>
      <c r="G69" s="309">
        <v>0</v>
      </c>
    </row>
    <row r="70" spans="1:7">
      <c r="A70" s="28" t="s">
        <v>67</v>
      </c>
      <c r="B70" s="274">
        <v>0</v>
      </c>
      <c r="C70" s="274">
        <v>0</v>
      </c>
      <c r="D70" s="239">
        <v>0</v>
      </c>
      <c r="E70" s="276">
        <v>0</v>
      </c>
      <c r="F70" s="308">
        <v>0</v>
      </c>
      <c r="G70" s="309">
        <v>0</v>
      </c>
    </row>
    <row r="71" spans="1:7">
      <c r="A71" s="28" t="s">
        <v>68</v>
      </c>
      <c r="B71" s="274">
        <v>0</v>
      </c>
      <c r="C71" s="274">
        <v>0</v>
      </c>
      <c r="D71" s="239">
        <v>0</v>
      </c>
      <c r="E71" s="276">
        <v>0</v>
      </c>
      <c r="F71" s="308">
        <v>0</v>
      </c>
      <c r="G71" s="309">
        <v>0</v>
      </c>
    </row>
    <row r="72" spans="1:7">
      <c r="A72" s="28" t="s">
        <v>69</v>
      </c>
      <c r="B72" s="274">
        <v>0</v>
      </c>
      <c r="C72" s="274">
        <v>0</v>
      </c>
      <c r="D72" s="239">
        <v>0</v>
      </c>
      <c r="E72" s="276">
        <v>0</v>
      </c>
      <c r="F72" s="308">
        <v>0</v>
      </c>
      <c r="G72" s="309">
        <v>0</v>
      </c>
    </row>
    <row r="73" spans="1:7">
      <c r="A73" s="310" t="s">
        <v>71</v>
      </c>
      <c r="B73" s="311">
        <v>0</v>
      </c>
      <c r="C73" s="311">
        <v>0</v>
      </c>
      <c r="D73" s="312">
        <v>0</v>
      </c>
      <c r="E73" s="313">
        <v>0</v>
      </c>
      <c r="F73" s="314">
        <v>0</v>
      </c>
      <c r="G73" s="315">
        <v>0</v>
      </c>
    </row>
    <row r="74" spans="1:7" ht="16.5" thickBot="1">
      <c r="A74" s="316" t="s">
        <v>72</v>
      </c>
      <c r="B74" s="113">
        <f t="shared" ref="B74:G74" si="6">B35-B67</f>
        <v>-0.23249483108520508</v>
      </c>
      <c r="C74" s="113">
        <f t="shared" si="6"/>
        <v>0.48368954658508301</v>
      </c>
      <c r="D74" s="113">
        <f t="shared" si="6"/>
        <v>2</v>
      </c>
      <c r="E74" s="317">
        <f t="shared" si="6"/>
        <v>0.40336382389068604</v>
      </c>
      <c r="F74" s="318">
        <f t="shared" si="6"/>
        <v>-0.1400001049041748</v>
      </c>
      <c r="G74" s="319">
        <f t="shared" si="6"/>
        <v>0.41195964813232422</v>
      </c>
    </row>
    <row r="75" spans="1:7">
      <c r="A75" s="320"/>
      <c r="B75" s="320"/>
      <c r="C75" s="321"/>
      <c r="D75" s="321"/>
      <c r="E75" s="321"/>
      <c r="F75" s="321"/>
      <c r="G75" s="322"/>
    </row>
    <row r="76" spans="1:7" ht="15">
      <c r="A76" s="323"/>
      <c r="B76" s="324"/>
      <c r="C76" s="324"/>
      <c r="D76" s="324"/>
      <c r="E76" s="324"/>
      <c r="F76" s="324"/>
      <c r="G76" s="324"/>
    </row>
    <row r="77" spans="1:7" ht="15">
      <c r="A77" s="99"/>
      <c r="B77" s="99"/>
      <c r="C77" s="99"/>
      <c r="D77" s="99"/>
      <c r="E77" s="99"/>
      <c r="F77" s="99"/>
      <c r="G77" s="99"/>
    </row>
  </sheetData>
  <mergeCells count="3">
    <mergeCell ref="A5:A6"/>
    <mergeCell ref="B5:C5"/>
    <mergeCell ref="D5:G5"/>
  </mergeCells>
  <pageMargins left="0.7" right="0.7" top="0.75" bottom="0.75" header="0.3" footer="0.3"/>
  <pageSetup scale="71" orientation="landscape" horizontalDpi="1200" verticalDpi="1200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zoomScale="80" zoomScaleNormal="70" zoomScaleSheetLayoutView="80" workbookViewId="0"/>
  </sheetViews>
  <sheetFormatPr defaultColWidth="9.140625" defaultRowHeight="15"/>
  <cols>
    <col min="1" max="1" width="58.140625" style="2" customWidth="1"/>
    <col min="2" max="3" width="19.7109375" style="2" customWidth="1"/>
    <col min="4" max="7" width="19.7109375" style="68" customWidth="1"/>
    <col min="8" max="16384" width="9.140625" style="2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>
      <c r="A3" s="3" t="s">
        <v>2</v>
      </c>
      <c r="B3" s="3"/>
      <c r="C3" s="3"/>
      <c r="D3" s="3"/>
      <c r="E3" s="3"/>
      <c r="F3" s="3"/>
      <c r="G3" s="3"/>
    </row>
    <row r="4" spans="1:7" ht="15.75" thickBot="1">
      <c r="A4" s="4"/>
      <c r="B4" s="4"/>
      <c r="C4" s="4"/>
      <c r="D4" s="4"/>
      <c r="E4" s="4"/>
      <c r="F4" s="4"/>
      <c r="G4" s="4"/>
    </row>
    <row r="5" spans="1:7" ht="16.5" thickBot="1">
      <c r="A5" s="330" t="s">
        <v>3</v>
      </c>
      <c r="B5" s="346" t="s">
        <v>4</v>
      </c>
      <c r="C5" s="347"/>
      <c r="D5" s="348" t="s">
        <v>5</v>
      </c>
      <c r="E5" s="349"/>
      <c r="F5" s="349"/>
      <c r="G5" s="350"/>
    </row>
    <row r="6" spans="1:7" s="7" customFormat="1" ht="48" thickBot="1">
      <c r="A6" s="331"/>
      <c r="B6" s="5" t="s">
        <v>6</v>
      </c>
      <c r="C6" s="5" t="s">
        <v>7</v>
      </c>
      <c r="D6" s="6" t="s">
        <v>8</v>
      </c>
      <c r="E6" s="6" t="s">
        <v>9</v>
      </c>
      <c r="F6" s="6" t="s">
        <v>10</v>
      </c>
      <c r="G6" s="5" t="s">
        <v>11</v>
      </c>
    </row>
    <row r="7" spans="1:7" ht="15.75">
      <c r="A7" s="8" t="s">
        <v>12</v>
      </c>
      <c r="B7" s="9"/>
      <c r="C7" s="10"/>
      <c r="D7" s="11"/>
      <c r="E7" s="11"/>
      <c r="F7" s="11"/>
      <c r="G7" s="12"/>
    </row>
    <row r="8" spans="1:7">
      <c r="A8" s="13" t="s">
        <v>13</v>
      </c>
      <c r="B8" s="14"/>
      <c r="C8" s="10"/>
      <c r="D8" s="11"/>
      <c r="E8" s="11"/>
      <c r="F8" s="11"/>
      <c r="G8" s="15"/>
    </row>
    <row r="9" spans="1:7">
      <c r="A9" s="16" t="s">
        <v>14</v>
      </c>
      <c r="B9" s="17">
        <v>20200283</v>
      </c>
      <c r="C9" s="17">
        <f>'[2]Table A GF'!C9</f>
        <v>18659213</v>
      </c>
      <c r="D9" s="18">
        <f>'[2]Table A GF'!D9</f>
        <v>21104538</v>
      </c>
      <c r="E9" s="19">
        <f>'[2]Table A AUX'!E9</f>
        <v>0</v>
      </c>
      <c r="F9" s="19"/>
      <c r="G9" s="15">
        <f>SUM(D9:F9)</f>
        <v>21104538</v>
      </c>
    </row>
    <row r="10" spans="1:7">
      <c r="A10" s="16" t="s">
        <v>15</v>
      </c>
      <c r="B10" s="17">
        <v>88755154</v>
      </c>
      <c r="C10" s="17">
        <f>'[2]Table A GF'!C10</f>
        <v>86520961</v>
      </c>
      <c r="D10" s="18">
        <f>'[2]Table A GF'!D10</f>
        <v>88758490</v>
      </c>
      <c r="E10" s="19">
        <f>'[2]Table A AUX'!E10</f>
        <v>0</v>
      </c>
      <c r="F10" s="19"/>
      <c r="G10" s="15">
        <f>SUM(D10:F10)</f>
        <v>88758490</v>
      </c>
    </row>
    <row r="11" spans="1:7">
      <c r="A11" s="16" t="s">
        <v>16</v>
      </c>
      <c r="B11" s="17">
        <v>26861358</v>
      </c>
      <c r="C11" s="17">
        <f>'[2]Table A GF'!C11</f>
        <v>30608992</v>
      </c>
      <c r="D11" s="18">
        <f>'[2]Table A GF'!D11</f>
        <v>31076521</v>
      </c>
      <c r="E11" s="19">
        <f>'[2]Table A AUX'!E11</f>
        <v>0</v>
      </c>
      <c r="F11" s="19"/>
      <c r="G11" s="15">
        <f>SUM(D11:F11)</f>
        <v>31076521</v>
      </c>
    </row>
    <row r="12" spans="1:7">
      <c r="A12" s="16" t="s">
        <v>17</v>
      </c>
      <c r="B12" s="17">
        <v>6294667</v>
      </c>
      <c r="C12" s="20">
        <f>'[2]Table A GF'!C12+'[2]Table A AUX'!C12</f>
        <v>2727031.32</v>
      </c>
      <c r="D12" s="18">
        <f>'[2]Table A GF'!D12</f>
        <v>0</v>
      </c>
      <c r="E12" s="19">
        <f>'[2]Table A AUX'!E12</f>
        <v>2389573</v>
      </c>
      <c r="F12" s="19"/>
      <c r="G12" s="15">
        <f>SUM(D12:F12)</f>
        <v>2389573</v>
      </c>
    </row>
    <row r="13" spans="1:7">
      <c r="A13" s="124" t="s">
        <v>18</v>
      </c>
      <c r="B13" s="20">
        <v>21202311</v>
      </c>
      <c r="C13" s="20">
        <f>'[2]Table A GF'!C13+'[2]Table A AUX'!C13</f>
        <v>22526266.7575</v>
      </c>
      <c r="D13" s="18">
        <f>'[2]Table A GF'!D13</f>
        <v>4624324</v>
      </c>
      <c r="E13" s="18">
        <f>'[2]Table A AUX'!E13</f>
        <v>14473009</v>
      </c>
      <c r="F13" s="19"/>
      <c r="G13" s="15">
        <f>SUM(D13:F13)</f>
        <v>19097333</v>
      </c>
    </row>
    <row r="14" spans="1:7" s="25" customFormat="1" ht="15.75">
      <c r="A14" s="29" t="s">
        <v>19</v>
      </c>
      <c r="B14" s="30">
        <f t="shared" ref="B14:G14" si="0">SUM(B9:B13)</f>
        <v>163313773</v>
      </c>
      <c r="C14" s="30">
        <f t="shared" si="0"/>
        <v>161042464.07749999</v>
      </c>
      <c r="D14" s="31">
        <f t="shared" si="0"/>
        <v>145563873</v>
      </c>
      <c r="E14" s="31">
        <f t="shared" si="0"/>
        <v>16862582</v>
      </c>
      <c r="F14" s="23">
        <f t="shared" si="0"/>
        <v>0</v>
      </c>
      <c r="G14" s="24">
        <f t="shared" si="0"/>
        <v>162426455</v>
      </c>
    </row>
    <row r="15" spans="1:7">
      <c r="A15" s="32" t="s">
        <v>20</v>
      </c>
      <c r="B15" s="20">
        <v>0</v>
      </c>
      <c r="C15" s="20"/>
      <c r="D15" s="18"/>
      <c r="E15" s="18">
        <f>'[2]Table A AUX'!E15</f>
        <v>0</v>
      </c>
      <c r="F15" s="19"/>
      <c r="G15" s="15">
        <f>SUM(D15:F15)</f>
        <v>0</v>
      </c>
    </row>
    <row r="16" spans="1:7">
      <c r="A16" s="32" t="s">
        <v>21</v>
      </c>
      <c r="B16" s="20"/>
      <c r="C16" s="20"/>
      <c r="D16" s="18"/>
      <c r="E16" s="18">
        <f>'[2]Table A AUX'!E16</f>
        <v>0</v>
      </c>
      <c r="F16" s="19"/>
      <c r="G16" s="15"/>
    </row>
    <row r="17" spans="1:7">
      <c r="A17" s="26" t="s">
        <v>22</v>
      </c>
      <c r="B17" s="20">
        <v>30510896</v>
      </c>
      <c r="C17" s="20">
        <f>'[2]Table A GF'!C17+'[2]Table A GK'!C17+'[2]Table A SR'!C17+'[2]Table A JR'!C17</f>
        <v>24182887</v>
      </c>
      <c r="D17" s="18">
        <f>'[2]Table A GF'!D17</f>
        <v>0</v>
      </c>
      <c r="E17" s="18">
        <f>'[2]Table A AUX'!E17</f>
        <v>0</v>
      </c>
      <c r="F17" s="18">
        <f>'[2]Table A GK'!F17+'[2]Table A SR'!F17+'[2]Table A JR'!F17</f>
        <v>24326731</v>
      </c>
      <c r="G17" s="27">
        <f t="shared" ref="G17:G22" si="1">SUM(D17:F17)</f>
        <v>24326731</v>
      </c>
    </row>
    <row r="18" spans="1:7">
      <c r="A18" s="26" t="s">
        <v>23</v>
      </c>
      <c r="B18" s="20">
        <v>14951882</v>
      </c>
      <c r="C18" s="20">
        <f>'[2]Table A GF'!C18+'[2]Table A GK'!C18+'[2]Table A SR'!C18+'[2]Table A JR'!C18</f>
        <v>17276143</v>
      </c>
      <c r="D18" s="18">
        <f>'[2]Table A GF'!D18</f>
        <v>0</v>
      </c>
      <c r="E18" s="18">
        <f>'[2]Table A AUX'!E18</f>
        <v>0</v>
      </c>
      <c r="F18" s="18">
        <f>'[2]Table A GK'!F18+'[2]Table A SR'!F18+'[2]Table A JR'!F18</f>
        <v>14414956</v>
      </c>
      <c r="G18" s="27">
        <f t="shared" si="1"/>
        <v>14414956</v>
      </c>
    </row>
    <row r="19" spans="1:7" ht="15.75">
      <c r="A19" s="26" t="s">
        <v>24</v>
      </c>
      <c r="B19" s="20">
        <v>17142710</v>
      </c>
      <c r="C19" s="20">
        <f>'[2]Table A GF'!C19+'[2]Table A GK'!C19+'[2]Table A SR'!C19+'[2]Table A JR'!C19</f>
        <v>18683780</v>
      </c>
      <c r="D19" s="18">
        <f>'[2]Table A GF'!D19</f>
        <v>22357013</v>
      </c>
      <c r="E19" s="18">
        <f>'[2]Table A AUX'!E19</f>
        <v>0</v>
      </c>
      <c r="F19" s="18">
        <f>'[2]Table A GK'!F19+'[2]Table A SR'!F19+'[2]Table A JR'!F19</f>
        <v>0</v>
      </c>
      <c r="G19" s="27">
        <f t="shared" si="1"/>
        <v>22357013</v>
      </c>
    </row>
    <row r="20" spans="1:7">
      <c r="A20" s="28" t="s">
        <v>25</v>
      </c>
      <c r="B20" s="20">
        <v>6348919</v>
      </c>
      <c r="C20" s="20">
        <f>'[2]Table A GF'!C20+'[2]Table A GK'!C20+'[2]Table A SR'!C20+'[2]Table A JR'!C20</f>
        <v>6348919</v>
      </c>
      <c r="D20" s="18">
        <f>'[2]Table A GF'!D20</f>
        <v>0</v>
      </c>
      <c r="E20" s="18">
        <f>'[2]Table A AUX'!E20</f>
        <v>0</v>
      </c>
      <c r="F20" s="18">
        <f>'[2]Table A GK'!F20+'[2]Table A SR'!F20+'[2]Table A JR'!F20</f>
        <v>0</v>
      </c>
      <c r="G20" s="27">
        <f t="shared" si="1"/>
        <v>0</v>
      </c>
    </row>
    <row r="21" spans="1:7">
      <c r="A21" s="28" t="s">
        <v>26</v>
      </c>
      <c r="B21" s="20">
        <v>8261179</v>
      </c>
      <c r="C21" s="20">
        <f>'[2]Table A GF'!C21+'[2]Table A GK'!C21+'[2]Table A SR'!C21+'[2]Table A JR'!C21</f>
        <v>8261179</v>
      </c>
      <c r="D21" s="18">
        <f>'[2]Table A GF'!D21</f>
        <v>0</v>
      </c>
      <c r="E21" s="18">
        <f>'[2]Table A AUX'!E21</f>
        <v>0</v>
      </c>
      <c r="F21" s="18">
        <f>'[2]Table A GK'!F21+'[2]Table A SR'!F21+'[2]Table A JR'!F21</f>
        <v>0</v>
      </c>
      <c r="G21" s="27">
        <f t="shared" si="1"/>
        <v>0</v>
      </c>
    </row>
    <row r="22" spans="1:7">
      <c r="A22" s="28" t="s">
        <v>27</v>
      </c>
      <c r="B22" s="20">
        <v>12461179</v>
      </c>
      <c r="C22" s="20">
        <f>'[2]Table A GF'!C22+'[2]Table A GK'!C22+'[2]Table A SR'!C22+'[2]Table A JR'!C22</f>
        <v>12461179</v>
      </c>
      <c r="D22" s="18">
        <f>'[2]Table A GF'!D22</f>
        <v>0</v>
      </c>
      <c r="E22" s="18">
        <f>'[2]Table A AUX'!E22</f>
        <v>0</v>
      </c>
      <c r="F22" s="18">
        <f>'[2]Table A GK'!F22+'[2]Table A SR'!F22+'[2]Table A JR'!F22</f>
        <v>0</v>
      </c>
      <c r="G22" s="27">
        <f t="shared" si="1"/>
        <v>0</v>
      </c>
    </row>
    <row r="23" spans="1:7" s="25" customFormat="1" ht="15.75">
      <c r="A23" s="29" t="s">
        <v>28</v>
      </c>
      <c r="B23" s="30">
        <f t="shared" ref="B23:G23" si="2">SUM(B15,B17:B22)</f>
        <v>89676765</v>
      </c>
      <c r="C23" s="30">
        <f t="shared" si="2"/>
        <v>87214087</v>
      </c>
      <c r="D23" s="31">
        <f t="shared" si="2"/>
        <v>22357013</v>
      </c>
      <c r="E23" s="31">
        <f t="shared" si="2"/>
        <v>0</v>
      </c>
      <c r="F23" s="31">
        <f t="shared" si="2"/>
        <v>38741687</v>
      </c>
      <c r="G23" s="30">
        <f t="shared" si="2"/>
        <v>61098700</v>
      </c>
    </row>
    <row r="24" spans="1:7">
      <c r="A24" s="32" t="s">
        <v>29</v>
      </c>
      <c r="B24" s="20">
        <v>12596091</v>
      </c>
      <c r="C24" s="20">
        <f>'[2]Table A GF'!C24+'[2]Table A GK'!C24+'[2]Table A SR'!C24+'[2]Table A JR'!C24+'[2]Table A AUX'!C24</f>
        <v>10073792</v>
      </c>
      <c r="D24" s="18">
        <f>'[2]Table A GF'!D24</f>
        <v>0</v>
      </c>
      <c r="E24" s="18">
        <f>'[2]Table A AUX'!E24</f>
        <v>0</v>
      </c>
      <c r="F24" s="18">
        <f>'[2]Table A GK'!F24+'[2]Table A SR'!F24+'[2]Table A JR'!F24</f>
        <v>15845623</v>
      </c>
      <c r="G24" s="27">
        <f t="shared" ref="G24:G31" si="3">SUM(D24:F24)</f>
        <v>15845623</v>
      </c>
    </row>
    <row r="25" spans="1:7">
      <c r="A25" s="32" t="s">
        <v>30</v>
      </c>
      <c r="B25" s="20">
        <v>470130</v>
      </c>
      <c r="C25" s="20">
        <f>'[2]Table A GF'!C25+'[2]Table A GK'!C25+'[2]Table A SR'!C25+'[2]Table A JR'!C25+'[2]Table A AUX'!C25</f>
        <v>213096.59999999998</v>
      </c>
      <c r="D25" s="18">
        <f>'[2]Table A GF'!D25</f>
        <v>0</v>
      </c>
      <c r="E25" s="18">
        <f>'[2]Table A AUX'!E25</f>
        <v>494200</v>
      </c>
      <c r="F25" s="18">
        <f>'[2]Table A GK'!F25+'[2]Table A SR'!F25+'[2]Table A JR'!F25</f>
        <v>0</v>
      </c>
      <c r="G25" s="27">
        <f t="shared" si="3"/>
        <v>494200</v>
      </c>
    </row>
    <row r="26" spans="1:7">
      <c r="A26" s="32" t="s">
        <v>31</v>
      </c>
      <c r="B26" s="20">
        <v>30959647</v>
      </c>
      <c r="C26" s="20">
        <f>'[2]Table A GF'!C26+'[2]Table A GK'!C26+'[2]Table A SR'!C26+'[2]Table A JR'!C26+'[2]Table A AUX'!C26</f>
        <v>26166817.469999999</v>
      </c>
      <c r="D26" s="18">
        <f>'[2]Table A GF'!D26</f>
        <v>0</v>
      </c>
      <c r="E26" s="18">
        <f>'[2]Table A AUX'!E26</f>
        <v>31707946</v>
      </c>
      <c r="F26" s="18">
        <f>'[2]Table A GK'!F26+'[2]Table A SR'!F26+'[2]Table A JR'!F26</f>
        <v>0</v>
      </c>
      <c r="G26" s="27">
        <f t="shared" si="3"/>
        <v>31707946</v>
      </c>
    </row>
    <row r="27" spans="1:7">
      <c r="A27" s="32" t="s">
        <v>32</v>
      </c>
      <c r="B27" s="20">
        <v>2131000</v>
      </c>
      <c r="C27" s="20">
        <f>'[2]Table A GF'!C27+'[2]Table A GK'!C27+'[2]Table A SR'!C27+'[2]Table A JR'!C27+'[2]Table A AUX'!C27</f>
        <v>2185141.2200000002</v>
      </c>
      <c r="D27" s="18">
        <f>'[2]Table A GF'!D27</f>
        <v>0</v>
      </c>
      <c r="E27" s="18">
        <f>'[2]Table A AUX'!E27</f>
        <v>0</v>
      </c>
      <c r="F27" s="18">
        <f>'[2]Table A GK'!F27+'[2]Table A SR'!F27+'[2]Table A JR'!F27</f>
        <v>0</v>
      </c>
      <c r="G27" s="27">
        <f t="shared" si="3"/>
        <v>0</v>
      </c>
    </row>
    <row r="28" spans="1:7">
      <c r="A28" s="32" t="s">
        <v>33</v>
      </c>
      <c r="B28" s="20">
        <v>0</v>
      </c>
      <c r="C28" s="20">
        <f>'[2]Table A GF'!C28+'[2]Table A GK'!C28+'[2]Table A SR'!C28+'[2]Table A JR'!C28+'[2]Table A AUX'!C28</f>
        <v>0</v>
      </c>
      <c r="D28" s="18">
        <f>'[2]Table A GF'!D28</f>
        <v>0</v>
      </c>
      <c r="E28" s="18">
        <f>'[2]Table A AUX'!E28</f>
        <v>0</v>
      </c>
      <c r="F28" s="18">
        <f>'[2]Table A GK'!F28+'[2]Table A SR'!F28+'[2]Table A JR'!F28</f>
        <v>0</v>
      </c>
      <c r="G28" s="27">
        <f t="shared" si="3"/>
        <v>0</v>
      </c>
    </row>
    <row r="29" spans="1:7">
      <c r="A29" s="26" t="s">
        <v>34</v>
      </c>
      <c r="B29" s="20">
        <v>1134602</v>
      </c>
      <c r="C29" s="20">
        <f>'[2]Table A GF'!C29+'[2]Table A GK'!C29+'[2]Table A SR'!C29+'[2]Table A JR'!C29+'[2]Table A AUX'!C29</f>
        <v>2108490</v>
      </c>
      <c r="D29" s="18">
        <f>'[2]Table A GF'!D29</f>
        <v>1134602</v>
      </c>
      <c r="E29" s="18">
        <f>'[2]Table A AUX'!E29</f>
        <v>0</v>
      </c>
      <c r="F29" s="18">
        <f>'[2]Table A GK'!F29+'[2]Table A SR'!F29+'[2]Table A JR'!F29</f>
        <v>0</v>
      </c>
      <c r="G29" s="27">
        <f t="shared" si="3"/>
        <v>1134602</v>
      </c>
    </row>
    <row r="30" spans="1:7">
      <c r="A30" s="26" t="s">
        <v>35</v>
      </c>
      <c r="B30" s="20">
        <v>0</v>
      </c>
      <c r="C30" s="20">
        <f>'[2]Table A GF'!C30+'[2]Table A GK'!C30+'[2]Table A SR'!C30+'[2]Table A JR'!C30+'[2]Table A AUX'!C30</f>
        <v>0</v>
      </c>
      <c r="D30" s="18">
        <f>'[2]Table A GF'!D30</f>
        <v>0</v>
      </c>
      <c r="E30" s="18">
        <f>'[2]Table A AUX'!E30</f>
        <v>0</v>
      </c>
      <c r="F30" s="18">
        <f>'[2]Table A GK'!F30+'[2]Table A SR'!F30+'[2]Table A JR'!F30</f>
        <v>0</v>
      </c>
      <c r="G30" s="27">
        <f t="shared" si="3"/>
        <v>0</v>
      </c>
    </row>
    <row r="31" spans="1:7" ht="15.75" thickBot="1">
      <c r="A31" s="33" t="s">
        <v>36</v>
      </c>
      <c r="B31" s="20">
        <v>36429890</v>
      </c>
      <c r="C31" s="20">
        <f>'[2]Table A GF'!C31+'[2]Table A GK'!C31+'[2]Table A SR'!C31+'[2]Table A JR'!C31+'[2]Table A AUX'!C31</f>
        <v>33435859.98</v>
      </c>
      <c r="D31" s="34">
        <f>'[2]Table A GF'!D31</f>
        <v>2478676</v>
      </c>
      <c r="E31" s="35">
        <f>'[2]Table A AUX'!E31</f>
        <v>37023756</v>
      </c>
      <c r="F31" s="36">
        <f>'[2]Table A GK'!F31+'[2]Table A SR'!F31+'[2]Table A JR'!F31</f>
        <v>0</v>
      </c>
      <c r="G31" s="27">
        <f t="shared" si="3"/>
        <v>39502432</v>
      </c>
    </row>
    <row r="32" spans="1:7" s="25" customFormat="1" ht="16.5" thickTop="1">
      <c r="A32" s="37" t="s">
        <v>37</v>
      </c>
      <c r="B32" s="38">
        <f t="shared" ref="B32:G32" si="4">SUM(B14,B23:B31)</f>
        <v>336711898</v>
      </c>
      <c r="C32" s="38">
        <f t="shared" si="4"/>
        <v>322439748.34750003</v>
      </c>
      <c r="D32" s="39">
        <f t="shared" si="4"/>
        <v>171534164</v>
      </c>
      <c r="E32" s="39">
        <f t="shared" si="4"/>
        <v>86088484</v>
      </c>
      <c r="F32" s="39">
        <f t="shared" si="4"/>
        <v>54587310</v>
      </c>
      <c r="G32" s="40">
        <f t="shared" si="4"/>
        <v>312209958</v>
      </c>
    </row>
    <row r="33" spans="1:7">
      <c r="A33" s="32"/>
      <c r="B33" s="41"/>
      <c r="C33" s="20"/>
      <c r="D33" s="18"/>
      <c r="E33" s="18"/>
      <c r="F33" s="18"/>
      <c r="G33" s="27"/>
    </row>
    <row r="34" spans="1:7" ht="15.75">
      <c r="A34" s="42" t="s">
        <v>38</v>
      </c>
      <c r="B34" s="43"/>
      <c r="C34" s="20"/>
      <c r="D34" s="18"/>
      <c r="E34" s="18"/>
      <c r="F34" s="18"/>
      <c r="G34" s="27"/>
    </row>
    <row r="35" spans="1:7">
      <c r="A35" s="32" t="s">
        <v>39</v>
      </c>
      <c r="B35" s="41"/>
      <c r="C35" s="20"/>
      <c r="D35" s="18"/>
      <c r="E35" s="18"/>
      <c r="F35" s="18"/>
      <c r="G35" s="27"/>
    </row>
    <row r="36" spans="1:7">
      <c r="A36" s="26" t="s">
        <v>40</v>
      </c>
      <c r="B36" s="20">
        <v>80923839.201509744</v>
      </c>
      <c r="C36" s="20">
        <f>'[2]Table A GF'!C36+'[2]Table A GK'!C36+'[2]Table A SR'!C36+'[2]Table A JR'!C36+'[2]Table A AUX'!C36</f>
        <v>79349945.887099996</v>
      </c>
      <c r="D36" s="18">
        <f>'[2]Table A GF'!D36</f>
        <v>80431449.382075995</v>
      </c>
      <c r="E36" s="18">
        <f>'[2]Table A AUX'!E36</f>
        <v>2334822</v>
      </c>
      <c r="F36" s="18">
        <f>'[2]Table A GK'!F36+'[2]Table A SR'!F36+'[2]Table A JR'!F36</f>
        <v>2521424</v>
      </c>
      <c r="G36" s="27">
        <f t="shared" ref="G36:G49" si="5">SUM(D36:F36)</f>
        <v>85287695.382075995</v>
      </c>
    </row>
    <row r="37" spans="1:7">
      <c r="A37" s="26" t="s">
        <v>41</v>
      </c>
      <c r="B37" s="20">
        <v>4858290.7061613901</v>
      </c>
      <c r="C37" s="20">
        <f>'[2]Table A GF'!C37+'[2]Table A GK'!C37+'[2]Table A SR'!C37+'[2]Table A JR'!C37+'[2]Table A AUX'!C37</f>
        <v>7557630.5687999995</v>
      </c>
      <c r="D37" s="18">
        <f>'[2]Table A GF'!D37</f>
        <v>390838.29219934298</v>
      </c>
      <c r="E37" s="18">
        <f>'[2]Table A AUX'!E37</f>
        <v>4949</v>
      </c>
      <c r="F37" s="18">
        <f>'[2]Table A GK'!F37+'[2]Table A SR'!F37+'[2]Table A JR'!F37</f>
        <v>6912449</v>
      </c>
      <c r="G37" s="27">
        <f t="shared" si="5"/>
        <v>7308236.2921993434</v>
      </c>
    </row>
    <row r="38" spans="1:7">
      <c r="A38" s="26" t="s">
        <v>42</v>
      </c>
      <c r="B38" s="20">
        <v>2210565.0729012955</v>
      </c>
      <c r="C38" s="20">
        <f>'[2]Table A GF'!C38+'[2]Table A GK'!C38+'[2]Table A SR'!C38+'[2]Table A JR'!C38+'[2]Table A AUX'!C38</f>
        <v>2419709.4686000003</v>
      </c>
      <c r="D38" s="18">
        <f>'[2]Table A GF'!D38</f>
        <v>65369.653970019601</v>
      </c>
      <c r="E38" s="18">
        <f>'[2]Table A AUX'!E38</f>
        <v>589332</v>
      </c>
      <c r="F38" s="18">
        <f>'[2]Table A GK'!F38+'[2]Table A SR'!F38+'[2]Table A JR'!F38</f>
        <v>2424630</v>
      </c>
      <c r="G38" s="27">
        <f t="shared" si="5"/>
        <v>3079331.6539700199</v>
      </c>
    </row>
    <row r="39" spans="1:7">
      <c r="A39" s="26" t="s">
        <v>43</v>
      </c>
      <c r="B39" s="20">
        <v>23265502.474612717</v>
      </c>
      <c r="C39" s="20">
        <f>'[2]Table A GF'!C39+'[2]Table A GK'!C39+'[2]Table A SR'!C39+'[2]Table A JR'!C39+'[2]Table A AUX'!C39</f>
        <v>22086798.7958</v>
      </c>
      <c r="D39" s="18">
        <f>'[2]Table A GF'!D39</f>
        <v>26336223.3179405</v>
      </c>
      <c r="E39" s="18">
        <f>'[2]Table A AUX'!E39</f>
        <v>661392</v>
      </c>
      <c r="F39" s="18">
        <f>'[2]Table A GK'!F39+'[2]Table A SR'!F39+'[2]Table A JR'!F39</f>
        <v>118541</v>
      </c>
      <c r="G39" s="27">
        <f t="shared" si="5"/>
        <v>27116156.3179405</v>
      </c>
    </row>
    <row r="40" spans="1:7">
      <c r="A40" s="26" t="s">
        <v>44</v>
      </c>
      <c r="B40" s="20">
        <v>15437382.654482264</v>
      </c>
      <c r="C40" s="20">
        <f>'[2]Table A GF'!C40+'[2]Table A GK'!C40+'[2]Table A SR'!C40+'[2]Table A JR'!C40+'[2]Table A AUX'!C40</f>
        <v>14610041.9683</v>
      </c>
      <c r="D40" s="18">
        <f>'[2]Table A GF'!D40</f>
        <v>13573393.0787878</v>
      </c>
      <c r="E40" s="18">
        <f>'[2]Table A AUX'!E40</f>
        <v>2915099</v>
      </c>
      <c r="F40" s="18">
        <f>'[2]Table A GK'!F40+'[2]Table A SR'!F40+'[2]Table A JR'!F40</f>
        <v>113218</v>
      </c>
      <c r="G40" s="27">
        <f t="shared" si="5"/>
        <v>16601710.0787878</v>
      </c>
    </row>
    <row r="41" spans="1:7">
      <c r="A41" s="26" t="s">
        <v>45</v>
      </c>
      <c r="B41" s="20">
        <v>28316536</v>
      </c>
      <c r="C41" s="20">
        <f>'[2]Table A GF'!C41+'[2]Table A GK'!C41+'[2]Table A SR'!C41+'[2]Table A JR'!C41+'[2]Table A AUX'!C41</f>
        <v>30792910.670266666</v>
      </c>
      <c r="D41" s="18">
        <f>'[2]Table A GF'!D41</f>
        <v>24787072.361171</v>
      </c>
      <c r="E41" s="18">
        <f>'[2]Table A AUX'!E41</f>
        <v>2846803</v>
      </c>
      <c r="F41" s="18">
        <f>'[2]Table A GK'!F41+'[2]Table A SR'!F41+'[2]Table A JR'!F41</f>
        <v>3165497</v>
      </c>
      <c r="G41" s="27">
        <f t="shared" si="5"/>
        <v>30799372.361171</v>
      </c>
    </row>
    <row r="42" spans="1:7">
      <c r="A42" s="26" t="s">
        <v>46</v>
      </c>
      <c r="B42" s="20">
        <v>14111450</v>
      </c>
      <c r="C42" s="20">
        <f>'[2]Table A GF'!C42+'[2]Table A GK'!C42+'[2]Table A SR'!C42+'[2]Table A JR'!C42+'[2]Table A AUX'!C42</f>
        <v>13414500.7761</v>
      </c>
      <c r="D42" s="18">
        <f>'[2]Table A GF'!D42</f>
        <v>12704153.9138554</v>
      </c>
      <c r="E42" s="18">
        <f>'[2]Table A AUX'!E42</f>
        <v>341153</v>
      </c>
      <c r="F42" s="18">
        <f>'[2]Table A GK'!F42+'[2]Table A SR'!F42+'[2]Table A JR'!F42</f>
        <v>923700</v>
      </c>
      <c r="G42" s="27">
        <f t="shared" si="5"/>
        <v>13969006.9138554</v>
      </c>
    </row>
    <row r="43" spans="1:7">
      <c r="A43" s="26" t="s">
        <v>47</v>
      </c>
      <c r="B43" s="20">
        <v>53149676</v>
      </c>
      <c r="C43" s="20">
        <f>'[2]Table A GF'!C43+'[2]Table A GK'!C43+'[2]Table A SR'!C43+'[2]Table A JR'!C43+'[2]Table A AUX'!C43</f>
        <v>48040447.5</v>
      </c>
      <c r="D43" s="18">
        <f>'[2]Table A GF'!D43</f>
        <v>18221525</v>
      </c>
      <c r="E43" s="18">
        <f>'[2]Table A AUX'!E43</f>
        <v>17800</v>
      </c>
      <c r="F43" s="18">
        <f>'[2]Table A GK'!F43+'[2]Table A SR'!F43+'[2]Table A JR'!F43</f>
        <v>30857670</v>
      </c>
      <c r="G43" s="27">
        <f t="shared" si="5"/>
        <v>49096995</v>
      </c>
    </row>
    <row r="44" spans="1:7">
      <c r="A44" s="32" t="s">
        <v>48</v>
      </c>
      <c r="B44" s="20">
        <v>27648693</v>
      </c>
      <c r="C44" s="20">
        <f>'[2]Table A AUX'!C44</f>
        <v>23314550.301899996</v>
      </c>
      <c r="D44" s="18">
        <f>'[2]Table A GF'!D44</f>
        <v>0</v>
      </c>
      <c r="E44" s="18">
        <f>'[2]Table A AUX'!E44</f>
        <v>26697235</v>
      </c>
      <c r="F44" s="18">
        <f>'[2]Table A GK'!F44+'[2]Table A SR'!F44+'[2]Table A JR'!F44</f>
        <v>0</v>
      </c>
      <c r="G44" s="27">
        <f t="shared" si="5"/>
        <v>26697235</v>
      </c>
    </row>
    <row r="45" spans="1:7">
      <c r="A45" s="32" t="s">
        <v>32</v>
      </c>
      <c r="B45" s="20">
        <v>2490975</v>
      </c>
      <c r="C45" s="20">
        <f>'[2]Table A GF'!C45+'[2]Table A GK'!C45+'[2]Table A SR'!C45+'[2]Table A JR'!C45+'[2]Table A AUX'!C45</f>
        <v>2316121.0933000003</v>
      </c>
      <c r="D45" s="18">
        <f>'[2]Table A GF'!D45</f>
        <v>0</v>
      </c>
      <c r="E45" s="18">
        <f>'[2]Table A AUX'!E45</f>
        <v>2293507</v>
      </c>
      <c r="F45" s="18">
        <f>'[2]Table A GK'!F45+'[2]Table A SR'!F45+'[2]Table A JR'!F45</f>
        <v>112573</v>
      </c>
      <c r="G45" s="27">
        <f t="shared" si="5"/>
        <v>2406080</v>
      </c>
    </row>
    <row r="46" spans="1:7">
      <c r="A46" s="32" t="s">
        <v>49</v>
      </c>
      <c r="B46" s="20">
        <v>33233000</v>
      </c>
      <c r="C46" s="20">
        <f>'[2]Table A GF'!C46+'[2]Table A GK'!C46+'[2]Table A SR'!C46+'[2]Table A JR'!C46+'[2]Table A AUX'!C46</f>
        <v>37222637.1426</v>
      </c>
      <c r="D46" s="18">
        <f>'[2]Table A GF'!D46</f>
        <v>0</v>
      </c>
      <c r="E46" s="18">
        <f>'[2]Table A AUX'!E46</f>
        <v>34642802.68</v>
      </c>
      <c r="F46" s="18">
        <f>'[2]Table A GK'!F46+'[2]Table A SR'!F46+'[2]Table A JR'!F46</f>
        <v>0</v>
      </c>
      <c r="G46" s="27">
        <f t="shared" si="5"/>
        <v>34642802.68</v>
      </c>
    </row>
    <row r="47" spans="1:7">
      <c r="A47" s="28" t="s">
        <v>25</v>
      </c>
      <c r="B47" s="20">
        <v>6348919</v>
      </c>
      <c r="C47" s="20">
        <f>'[2]Table A GF'!C47+'[2]Table A GK'!C47+'[2]Table A SR'!C47+'[2]Table A JR'!C47+'[2]Table A AUX'!C47</f>
        <v>6348919</v>
      </c>
      <c r="D47" s="18">
        <f>'[2]Table A GF'!D47</f>
        <v>0</v>
      </c>
      <c r="E47" s="18">
        <f>'[2]Table A AUX'!E47</f>
        <v>0</v>
      </c>
      <c r="F47" s="18">
        <f>'[2]Table A GK'!F47+'[2]Table A SR'!F47+'[2]Table A JR'!F47</f>
        <v>0</v>
      </c>
      <c r="G47" s="27">
        <f t="shared" si="5"/>
        <v>0</v>
      </c>
    </row>
    <row r="48" spans="1:7">
      <c r="A48" s="28" t="s">
        <v>26</v>
      </c>
      <c r="B48" s="20">
        <v>8261179</v>
      </c>
      <c r="C48" s="20">
        <f>'[2]Table A GF'!C48+'[2]Table A GK'!C48+'[2]Table A SR'!C48+'[2]Table A JR'!C48+'[2]Table A AUX'!C48</f>
        <v>8261179</v>
      </c>
      <c r="D48" s="18">
        <f>'[2]Table A GF'!D48</f>
        <v>0</v>
      </c>
      <c r="E48" s="18">
        <f>'[2]Table A AUX'!E48</f>
        <v>0</v>
      </c>
      <c r="F48" s="18">
        <f>'[2]Table A GK'!F48+'[2]Table A SR'!F48+'[2]Table A JR'!F48</f>
        <v>0</v>
      </c>
      <c r="G48" s="27">
        <f t="shared" si="5"/>
        <v>0</v>
      </c>
    </row>
    <row r="49" spans="1:7" ht="15.75" thickBot="1">
      <c r="A49" s="28" t="s">
        <v>27</v>
      </c>
      <c r="B49" s="20">
        <v>12461179</v>
      </c>
      <c r="C49" s="20">
        <f>'[2]Table A GF'!C49+'[2]Table A GK'!C49+'[2]Table A SR'!C49+'[2]Table A JR'!C49+'[2]Table A AUX'!C49</f>
        <v>12461179</v>
      </c>
      <c r="D49" s="18">
        <f>'[2]Table A GF'!D49</f>
        <v>0</v>
      </c>
      <c r="E49" s="18">
        <f>'[2]Table A AUX'!E49</f>
        <v>0</v>
      </c>
      <c r="F49" s="18">
        <f>'[2]Table A GK'!F49+'[2]Table A SR'!F49+'[2]Table A JR'!F49</f>
        <v>0</v>
      </c>
      <c r="G49" s="27">
        <f t="shared" si="5"/>
        <v>0</v>
      </c>
    </row>
    <row r="50" spans="1:7" s="25" customFormat="1" ht="16.5" thickTop="1">
      <c r="A50" s="37" t="s">
        <v>50</v>
      </c>
      <c r="B50" s="38">
        <f t="shared" ref="B50:G50" si="6">SUM(B36:B49)</f>
        <v>312717187.10966742</v>
      </c>
      <c r="C50" s="38">
        <f t="shared" si="6"/>
        <v>308196571.17276669</v>
      </c>
      <c r="D50" s="44">
        <f t="shared" si="6"/>
        <v>176510025.00000006</v>
      </c>
      <c r="E50" s="44">
        <f t="shared" si="6"/>
        <v>73344894.680000007</v>
      </c>
      <c r="F50" s="44">
        <f t="shared" si="6"/>
        <v>47149702</v>
      </c>
      <c r="G50" s="38">
        <f t="shared" si="6"/>
        <v>297004621.68000007</v>
      </c>
    </row>
    <row r="51" spans="1:7">
      <c r="A51" s="32"/>
      <c r="B51" s="41"/>
      <c r="C51" s="20"/>
      <c r="D51" s="18"/>
      <c r="E51" s="18"/>
      <c r="F51" s="18"/>
      <c r="G51" s="27"/>
    </row>
    <row r="52" spans="1:7" ht="15.75">
      <c r="A52" s="42" t="s">
        <v>51</v>
      </c>
      <c r="B52" s="43"/>
      <c r="C52" s="20"/>
      <c r="D52" s="18"/>
      <c r="E52" s="18"/>
      <c r="F52" s="18"/>
      <c r="G52" s="27"/>
    </row>
    <row r="53" spans="1:7">
      <c r="A53" s="32" t="s">
        <v>52</v>
      </c>
      <c r="B53" s="41"/>
      <c r="C53" s="20"/>
      <c r="D53" s="18"/>
      <c r="E53" s="18"/>
      <c r="F53" s="18"/>
      <c r="G53" s="27"/>
    </row>
    <row r="54" spans="1:7">
      <c r="A54" s="16" t="s">
        <v>53</v>
      </c>
      <c r="B54" s="17">
        <v>14788977</v>
      </c>
      <c r="C54" s="17">
        <f>'[2]Table A GF'!C54+'[2]Table A GK'!C54+'[2]Table A SR'!C54+'[2]Table A JR'!C54+'[2]Table A AUX'!C54</f>
        <v>14788977</v>
      </c>
      <c r="D54" s="18">
        <f>'[2]Table A GF'!D54</f>
        <v>4482386</v>
      </c>
      <c r="E54" s="19">
        <f>'[2]Table A AUX'!E54</f>
        <v>11466888</v>
      </c>
      <c r="F54" s="19">
        <f>'[2]Table A GK'!F54+'[2]Table A SR'!F54+'[2]Table A JR'!F54</f>
        <v>0</v>
      </c>
      <c r="G54" s="15">
        <f>SUM(D54:F54)</f>
        <v>15949274</v>
      </c>
    </row>
    <row r="55" spans="1:7">
      <c r="A55" s="16" t="s">
        <v>54</v>
      </c>
      <c r="B55" s="126">
        <v>0</v>
      </c>
      <c r="C55" s="125">
        <v>0</v>
      </c>
      <c r="D55" s="125">
        <v>0</v>
      </c>
      <c r="E55" s="18">
        <v>0</v>
      </c>
      <c r="F55" s="18">
        <v>0</v>
      </c>
      <c r="G55" s="17">
        <f>SUM(D55:F55)</f>
        <v>0</v>
      </c>
    </row>
    <row r="56" spans="1:7">
      <c r="A56" s="21" t="s">
        <v>55</v>
      </c>
      <c r="B56" s="126">
        <v>0</v>
      </c>
      <c r="C56" s="125">
        <v>0</v>
      </c>
      <c r="D56" s="125">
        <v>0</v>
      </c>
      <c r="E56" s="49">
        <v>0</v>
      </c>
      <c r="F56" s="18">
        <v>0</v>
      </c>
      <c r="G56" s="17">
        <f>SUM(D56:F56)</f>
        <v>0</v>
      </c>
    </row>
    <row r="57" spans="1:7">
      <c r="A57" s="45" t="s">
        <v>56</v>
      </c>
      <c r="B57" s="46">
        <f t="shared" ref="B57:G57" si="7">SUM(B54:B56)</f>
        <v>14788977</v>
      </c>
      <c r="C57" s="46">
        <f t="shared" si="7"/>
        <v>14788977</v>
      </c>
      <c r="D57" s="47">
        <f t="shared" si="7"/>
        <v>4482386</v>
      </c>
      <c r="E57" s="47">
        <f t="shared" si="7"/>
        <v>11466888</v>
      </c>
      <c r="F57" s="47">
        <f t="shared" si="7"/>
        <v>0</v>
      </c>
      <c r="G57" s="48">
        <f t="shared" si="7"/>
        <v>15949274</v>
      </c>
    </row>
    <row r="58" spans="1:7">
      <c r="A58" s="13"/>
      <c r="B58" s="17"/>
      <c r="C58" s="17"/>
      <c r="D58" s="19"/>
      <c r="E58" s="19"/>
      <c r="F58" s="19"/>
      <c r="G58" s="15"/>
    </row>
    <row r="59" spans="1:7">
      <c r="A59" s="13" t="s">
        <v>57</v>
      </c>
      <c r="B59" s="17"/>
      <c r="C59" s="17"/>
      <c r="D59" s="19"/>
      <c r="E59" s="19"/>
      <c r="F59" s="19"/>
      <c r="G59" s="15"/>
    </row>
    <row r="60" spans="1:7">
      <c r="A60" s="16" t="s">
        <v>58</v>
      </c>
      <c r="B60" s="17">
        <v>8021876</v>
      </c>
      <c r="C60" s="17">
        <f>'[2]Table A GF'!C60+'[2]Table A GK'!C60+'[2]Table A SR'!C60+'[2]Table A JR'!C60+'[2]Table A AUX'!C60</f>
        <v>916107</v>
      </c>
      <c r="D60" s="18">
        <f>'[2]Table A GF'!D60</f>
        <v>0</v>
      </c>
      <c r="E60" s="19">
        <f>'[2]Table A AUX'!E60</f>
        <v>0</v>
      </c>
      <c r="F60" s="19">
        <f>'[2]Table A GK'!F60+'[2]Table A SR'!F60+'[2]Table A JR'!F60</f>
        <v>7437608</v>
      </c>
      <c r="G60" s="15">
        <f>SUM(D60:F60)</f>
        <v>7437608</v>
      </c>
    </row>
    <row r="61" spans="1:7">
      <c r="A61" s="21" t="s">
        <v>49</v>
      </c>
      <c r="B61" s="17">
        <v>1183858</v>
      </c>
      <c r="C61" s="17">
        <f>'[2]Table A GF'!C61+'[2]Table A AUX'!C61+'[2]Table A GK'!C61+'[2]Table A SR'!C61+'[2]Table A JR'!C61</f>
        <v>-1461905.98</v>
      </c>
      <c r="D61" s="49">
        <f>'[2]Table A GF'!D61</f>
        <v>-9458247</v>
      </c>
      <c r="E61" s="50">
        <f>'[2]Table A AUX'!E61</f>
        <v>1276701</v>
      </c>
      <c r="F61" s="50">
        <f>'[2]Table A GK'!F61+'[2]Table A SR'!F61+'[2]Table A JR'!F61</f>
        <v>0</v>
      </c>
      <c r="G61" s="15">
        <f>SUM(D61:F61)</f>
        <v>-8181546</v>
      </c>
    </row>
    <row r="62" spans="1:7" ht="15.75" thickBot="1">
      <c r="A62" s="51" t="s">
        <v>59</v>
      </c>
      <c r="B62" s="52">
        <v>9205734</v>
      </c>
      <c r="C62" s="52">
        <f>SUM(C60:C61)</f>
        <v>-545798.98</v>
      </c>
      <c r="D62" s="53">
        <f>D60+D61</f>
        <v>-9458247</v>
      </c>
      <c r="E62" s="53">
        <f>E60+E61</f>
        <v>1276701</v>
      </c>
      <c r="F62" s="53">
        <f>F60+F61</f>
        <v>7437608</v>
      </c>
      <c r="G62" s="52">
        <f>G60+G61</f>
        <v>-743938</v>
      </c>
    </row>
    <row r="63" spans="1:7" s="25" customFormat="1" ht="17.25" thickTop="1" thickBot="1">
      <c r="A63" s="54" t="s">
        <v>60</v>
      </c>
      <c r="B63" s="55">
        <f t="shared" ref="B63:G63" si="8">B62+B57+B50</f>
        <v>336711898.10966742</v>
      </c>
      <c r="C63" s="55">
        <f t="shared" si="8"/>
        <v>322439749.19276667</v>
      </c>
      <c r="D63" s="56">
        <f t="shared" si="8"/>
        <v>171534164.00000006</v>
      </c>
      <c r="E63" s="56">
        <f t="shared" si="8"/>
        <v>86088483.680000007</v>
      </c>
      <c r="F63" s="57">
        <f t="shared" si="8"/>
        <v>54587310</v>
      </c>
      <c r="G63" s="58">
        <f t="shared" si="8"/>
        <v>312209957.68000007</v>
      </c>
    </row>
    <row r="64" spans="1:7" ht="17.25" thickTop="1" thickBot="1">
      <c r="A64" s="59" t="s">
        <v>61</v>
      </c>
      <c r="B64" s="60">
        <f>B32-B63</f>
        <v>-0.10966742038726807</v>
      </c>
      <c r="C64" s="61">
        <f>C32-C50-C57-C62+0.6</f>
        <v>-0.24526665927842262</v>
      </c>
      <c r="D64" s="62">
        <v>-0.10966742038726807</v>
      </c>
      <c r="E64" s="61">
        <v>0</v>
      </c>
      <c r="F64" s="63">
        <v>0</v>
      </c>
      <c r="G64" s="64">
        <v>-0.10966742038726807</v>
      </c>
    </row>
    <row r="65" spans="1:7">
      <c r="A65" s="65"/>
      <c r="B65" s="66"/>
      <c r="C65" s="66"/>
      <c r="D65" s="66"/>
      <c r="E65" s="66"/>
      <c r="F65" s="66"/>
      <c r="G65" s="66"/>
    </row>
    <row r="66" spans="1:7" ht="48.75" customHeight="1">
      <c r="A66" s="351" t="s">
        <v>89</v>
      </c>
      <c r="B66" s="351"/>
      <c r="C66" s="351"/>
      <c r="D66" s="351"/>
      <c r="E66" s="351"/>
      <c r="F66" s="351"/>
      <c r="G66" s="351"/>
    </row>
    <row r="67" spans="1:7" ht="62.25" customHeight="1">
      <c r="A67" s="351" t="s">
        <v>90</v>
      </c>
      <c r="B67" s="351"/>
      <c r="C67" s="351"/>
      <c r="D67" s="351"/>
      <c r="E67" s="351"/>
      <c r="F67" s="351"/>
      <c r="G67" s="351"/>
    </row>
    <row r="68" spans="1:7">
      <c r="A68" s="325" t="s">
        <v>62</v>
      </c>
      <c r="B68" s="65"/>
      <c r="D68" s="65"/>
      <c r="E68" s="65"/>
      <c r="F68" s="65"/>
      <c r="G68" s="65"/>
    </row>
    <row r="69" spans="1:7">
      <c r="A69" s="65"/>
      <c r="B69" s="65"/>
      <c r="C69" s="65"/>
      <c r="D69" s="67"/>
      <c r="E69" s="65"/>
      <c r="F69" s="65"/>
      <c r="G69" s="65"/>
    </row>
    <row r="70" spans="1:7">
      <c r="A70" s="65"/>
      <c r="B70" s="65"/>
      <c r="C70" s="65"/>
      <c r="D70" s="65"/>
      <c r="E70" s="65"/>
      <c r="F70" s="65"/>
      <c r="G70" s="65"/>
    </row>
    <row r="71" spans="1:7">
      <c r="A71" s="65"/>
      <c r="B71" s="65"/>
      <c r="C71" s="65"/>
      <c r="D71" s="65"/>
      <c r="E71" s="65"/>
      <c r="F71" s="65"/>
      <c r="G71" s="65"/>
    </row>
    <row r="72" spans="1:7">
      <c r="A72" s="65"/>
      <c r="B72" s="65"/>
      <c r="C72" s="65"/>
      <c r="D72" s="65"/>
      <c r="E72" s="65"/>
      <c r="F72" s="65"/>
      <c r="G72" s="65"/>
    </row>
    <row r="73" spans="1:7">
      <c r="A73" s="65"/>
      <c r="B73" s="67"/>
      <c r="C73" s="65"/>
      <c r="D73" s="65"/>
      <c r="E73" s="65"/>
      <c r="F73" s="65"/>
      <c r="G73" s="65"/>
    </row>
    <row r="74" spans="1:7">
      <c r="A74" s="65"/>
      <c r="B74" s="65"/>
      <c r="C74" s="65"/>
      <c r="D74" s="65"/>
      <c r="E74" s="65"/>
      <c r="F74" s="65"/>
      <c r="G74" s="65"/>
    </row>
    <row r="75" spans="1:7">
      <c r="A75" s="65"/>
      <c r="B75" s="65"/>
      <c r="C75" s="65"/>
      <c r="D75" s="65"/>
      <c r="E75" s="65"/>
      <c r="F75" s="65"/>
      <c r="G75" s="65"/>
    </row>
  </sheetData>
  <mergeCells count="5">
    <mergeCell ref="A5:A6"/>
    <mergeCell ref="B5:C5"/>
    <mergeCell ref="D5:G5"/>
    <mergeCell ref="A66:G66"/>
    <mergeCell ref="A67:G67"/>
  </mergeCells>
  <printOptions horizontalCentered="1"/>
  <pageMargins left="0.25" right="0.25" top="0.75" bottom="0.75" header="0.3" footer="0.3"/>
  <pageSetup scale="69" fitToWidth="3" fitToHeight="3" orientation="landscape" r:id="rId1"/>
  <headerFooter alignWithMargins="0"/>
  <rowBreaks count="1" manualBreakCount="1">
    <brk id="3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zoomScale="80" zoomScaleNormal="7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5"/>
  <cols>
    <col min="1" max="1" width="56.7109375" style="2" customWidth="1"/>
    <col min="2" max="3" width="19.7109375" style="2" customWidth="1"/>
    <col min="4" max="7" width="19.7109375" style="68" customWidth="1"/>
    <col min="8" max="16384" width="9.140625" style="2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>
      <c r="A3" s="3" t="s">
        <v>78</v>
      </c>
      <c r="B3" s="3"/>
      <c r="C3" s="3"/>
      <c r="D3" s="3"/>
      <c r="E3" s="3"/>
      <c r="F3" s="3"/>
      <c r="G3" s="3"/>
    </row>
    <row r="4" spans="1:7" ht="15.75" thickBot="1">
      <c r="A4" s="4"/>
      <c r="B4" s="4"/>
      <c r="C4" s="3"/>
      <c r="D4" s="4"/>
      <c r="E4" s="4"/>
      <c r="F4" s="4"/>
      <c r="G4" s="4"/>
    </row>
    <row r="5" spans="1:7" ht="16.5" thickBot="1">
      <c r="A5" s="330" t="s">
        <v>3</v>
      </c>
      <c r="B5" s="346" t="s">
        <v>4</v>
      </c>
      <c r="C5" s="347"/>
      <c r="D5" s="348" t="s">
        <v>5</v>
      </c>
      <c r="E5" s="349"/>
      <c r="F5" s="349"/>
      <c r="G5" s="350"/>
    </row>
    <row r="6" spans="1:7" s="7" customFormat="1" ht="48" thickBot="1">
      <c r="A6" s="331"/>
      <c r="B6" s="5" t="s">
        <v>6</v>
      </c>
      <c r="C6" s="5" t="s">
        <v>7</v>
      </c>
      <c r="D6" s="152" t="s">
        <v>8</v>
      </c>
      <c r="E6" s="6" t="s">
        <v>9</v>
      </c>
      <c r="F6" s="6" t="s">
        <v>10</v>
      </c>
      <c r="G6" s="5" t="s">
        <v>11</v>
      </c>
    </row>
    <row r="7" spans="1:7" ht="15.75">
      <c r="A7" s="8" t="s">
        <v>12</v>
      </c>
      <c r="B7" s="9"/>
      <c r="C7" s="10"/>
      <c r="D7" s="144"/>
      <c r="E7" s="11"/>
      <c r="F7" s="11"/>
      <c r="G7" s="12"/>
    </row>
    <row r="8" spans="1:7">
      <c r="A8" s="13" t="s">
        <v>13</v>
      </c>
      <c r="B8" s="14"/>
      <c r="C8" s="10"/>
      <c r="D8" s="144"/>
      <c r="E8" s="11"/>
      <c r="F8" s="11"/>
      <c r="G8" s="10"/>
    </row>
    <row r="9" spans="1:7">
      <c r="A9" s="16" t="s">
        <v>14</v>
      </c>
      <c r="B9" s="153">
        <v>20019891</v>
      </c>
      <c r="C9" s="153">
        <f>'[1]Table B (Denver)'!C9</f>
        <v>20019891</v>
      </c>
      <c r="D9" s="154">
        <v>20566754</v>
      </c>
      <c r="E9" s="155"/>
      <c r="F9" s="155"/>
      <c r="G9" s="156">
        <f>SUM(D9:F9)</f>
        <v>20566754</v>
      </c>
    </row>
    <row r="10" spans="1:7">
      <c r="A10" s="16" t="s">
        <v>15</v>
      </c>
      <c r="B10" s="153">
        <v>110182441</v>
      </c>
      <c r="C10" s="153">
        <f>'[1]Table B (Denver)'!C10</f>
        <v>105843269</v>
      </c>
      <c r="D10" s="154">
        <v>113550225</v>
      </c>
      <c r="E10" s="155"/>
      <c r="F10" s="155"/>
      <c r="G10" s="156">
        <f>SUM(D10:F10)</f>
        <v>113550225</v>
      </c>
    </row>
    <row r="11" spans="1:7">
      <c r="A11" s="16" t="s">
        <v>16</v>
      </c>
      <c r="B11" s="153">
        <v>44271990</v>
      </c>
      <c r="C11" s="153">
        <f>'[1]Table B (Denver)'!C11</f>
        <v>50332249</v>
      </c>
      <c r="D11" s="154">
        <v>49690327</v>
      </c>
      <c r="E11" s="155"/>
      <c r="F11" s="155"/>
      <c r="G11" s="156">
        <f>SUM(D11:F11)</f>
        <v>49690327</v>
      </c>
    </row>
    <row r="12" spans="1:7">
      <c r="A12" s="16" t="s">
        <v>17</v>
      </c>
      <c r="B12" s="153">
        <v>17717402.289999999</v>
      </c>
      <c r="C12" s="153">
        <v>18691405</v>
      </c>
      <c r="D12" s="154"/>
      <c r="E12" s="155">
        <v>16510361</v>
      </c>
      <c r="F12" s="155"/>
      <c r="G12" s="156">
        <f>SUM(D12:F12)</f>
        <v>16510361</v>
      </c>
    </row>
    <row r="13" spans="1:7">
      <c r="A13" s="21" t="s">
        <v>18</v>
      </c>
      <c r="B13" s="153">
        <v>26870012</v>
      </c>
      <c r="C13" s="153">
        <v>26786585</v>
      </c>
      <c r="D13" s="154">
        <v>9587405</v>
      </c>
      <c r="E13" s="155">
        <v>12700499</v>
      </c>
      <c r="F13" s="155"/>
      <c r="G13" s="156">
        <f>SUM(D13:F13)</f>
        <v>22287904</v>
      </c>
    </row>
    <row r="14" spans="1:7" s="25" customFormat="1" ht="15.75">
      <c r="A14" s="29" t="s">
        <v>19</v>
      </c>
      <c r="B14" s="157">
        <v>219061736.28999999</v>
      </c>
      <c r="C14" s="157">
        <f>SUM(C9:C13)</f>
        <v>221673399</v>
      </c>
      <c r="D14" s="158">
        <f>SUM(D9:D13)</f>
        <v>193394711</v>
      </c>
      <c r="E14" s="159">
        <f>SUM(E9:E13)</f>
        <v>29210860</v>
      </c>
      <c r="F14" s="159">
        <f>SUM(F9:F13)</f>
        <v>0</v>
      </c>
      <c r="G14" s="157">
        <f>SUM(G9:G13)</f>
        <v>222605571</v>
      </c>
    </row>
    <row r="15" spans="1:7">
      <c r="A15" s="32" t="s">
        <v>20</v>
      </c>
      <c r="B15" s="160">
        <v>0</v>
      </c>
      <c r="C15" s="160">
        <v>0</v>
      </c>
      <c r="D15" s="161"/>
      <c r="E15" s="162"/>
      <c r="F15" s="162"/>
      <c r="G15" s="163"/>
    </row>
    <row r="16" spans="1:7">
      <c r="A16" s="32" t="s">
        <v>21</v>
      </c>
      <c r="B16" s="160"/>
      <c r="C16" s="160"/>
      <c r="D16" s="161"/>
      <c r="E16" s="162"/>
      <c r="F16" s="162"/>
      <c r="G16" s="163"/>
    </row>
    <row r="17" spans="1:7">
      <c r="A17" s="26" t="s">
        <v>22</v>
      </c>
      <c r="B17" s="160">
        <v>31666829.375007633</v>
      </c>
      <c r="C17" s="160">
        <v>30253252</v>
      </c>
      <c r="D17" s="161"/>
      <c r="E17" s="162"/>
      <c r="F17" s="162">
        <v>31759117</v>
      </c>
      <c r="G17" s="163">
        <f t="shared" ref="G17:G24" si="0">SUM(D17:F17)</f>
        <v>31759117</v>
      </c>
    </row>
    <row r="18" spans="1:7">
      <c r="A18" s="26" t="s">
        <v>23</v>
      </c>
      <c r="B18" s="160">
        <v>16159535.808753684</v>
      </c>
      <c r="C18" s="160">
        <v>17557096</v>
      </c>
      <c r="D18" s="161"/>
      <c r="E18" s="162"/>
      <c r="F18" s="162">
        <v>18478291</v>
      </c>
      <c r="G18" s="163">
        <f t="shared" si="0"/>
        <v>18478291</v>
      </c>
    </row>
    <row r="19" spans="1:7" ht="15.75">
      <c r="A19" s="26" t="s">
        <v>79</v>
      </c>
      <c r="B19" s="160">
        <v>0</v>
      </c>
      <c r="C19" s="160"/>
      <c r="D19" s="161"/>
      <c r="E19" s="162"/>
      <c r="F19" s="162"/>
      <c r="G19" s="163">
        <f t="shared" si="0"/>
        <v>0</v>
      </c>
    </row>
    <row r="20" spans="1:7">
      <c r="A20" s="26" t="s">
        <v>65</v>
      </c>
      <c r="B20" s="160">
        <v>23176171</v>
      </c>
      <c r="C20" s="160">
        <f>+'[1]Table B (Denver)'!C13</f>
        <v>23176171</v>
      </c>
      <c r="D20" s="161">
        <v>30467805</v>
      </c>
      <c r="E20" s="162"/>
      <c r="F20" s="162"/>
      <c r="G20" s="163">
        <f t="shared" si="0"/>
        <v>30467805</v>
      </c>
    </row>
    <row r="21" spans="1:7">
      <c r="A21" s="28" t="s">
        <v>66</v>
      </c>
      <c r="B21" s="160">
        <v>2151671</v>
      </c>
      <c r="C21" s="160">
        <v>4303342</v>
      </c>
      <c r="D21" s="161"/>
      <c r="E21" s="162"/>
      <c r="F21" s="162"/>
      <c r="G21" s="163">
        <f t="shared" si="0"/>
        <v>0</v>
      </c>
    </row>
    <row r="22" spans="1:7">
      <c r="A22" s="28" t="s">
        <v>67</v>
      </c>
      <c r="B22" s="160">
        <v>7234881</v>
      </c>
      <c r="C22" s="160">
        <v>6430680.9299999997</v>
      </c>
      <c r="D22" s="161"/>
      <c r="E22" s="162"/>
      <c r="F22" s="162"/>
      <c r="G22" s="163">
        <f t="shared" si="0"/>
        <v>0</v>
      </c>
    </row>
    <row r="23" spans="1:7">
      <c r="A23" s="28" t="s">
        <v>68</v>
      </c>
      <c r="B23" s="160">
        <v>14484243</v>
      </c>
      <c r="C23" s="160">
        <v>14482243</v>
      </c>
      <c r="D23" s="161"/>
      <c r="E23" s="162"/>
      <c r="F23" s="162"/>
      <c r="G23" s="163">
        <f t="shared" si="0"/>
        <v>0</v>
      </c>
    </row>
    <row r="24" spans="1:7">
      <c r="A24" s="28" t="s">
        <v>69</v>
      </c>
      <c r="B24" s="160">
        <v>8441110</v>
      </c>
      <c r="C24" s="160">
        <v>10302704</v>
      </c>
      <c r="D24" s="161"/>
      <c r="E24" s="162"/>
      <c r="F24" s="162"/>
      <c r="G24" s="163">
        <f t="shared" si="0"/>
        <v>0</v>
      </c>
    </row>
    <row r="25" spans="1:7" s="25" customFormat="1" ht="15.75">
      <c r="A25" s="29" t="s">
        <v>28</v>
      </c>
      <c r="B25" s="157">
        <v>103314441.18376131</v>
      </c>
      <c r="C25" s="157">
        <f>SUM(C15:C24)</f>
        <v>106505488.93000001</v>
      </c>
      <c r="D25" s="158">
        <f>SUM(D15:D24)</f>
        <v>30467805</v>
      </c>
      <c r="E25" s="159">
        <f>SUM(E15:E24)</f>
        <v>0</v>
      </c>
      <c r="F25" s="159">
        <f>SUM(F15:F24)</f>
        <v>50237408</v>
      </c>
      <c r="G25" s="157">
        <f>SUM(G15:G24)</f>
        <v>80705213</v>
      </c>
    </row>
    <row r="26" spans="1:7">
      <c r="A26" s="32" t="s">
        <v>29</v>
      </c>
      <c r="B26" s="160">
        <v>9059938</v>
      </c>
      <c r="C26" s="160">
        <v>9835319</v>
      </c>
      <c r="D26" s="161"/>
      <c r="E26" s="162"/>
      <c r="F26" s="162">
        <v>9835319</v>
      </c>
      <c r="G26" s="163">
        <f t="shared" ref="G26:G33" si="1">SUM(D26:F26)</f>
        <v>9835319</v>
      </c>
    </row>
    <row r="27" spans="1:7">
      <c r="A27" s="32" t="s">
        <v>30</v>
      </c>
      <c r="B27" s="160">
        <v>6831350</v>
      </c>
      <c r="C27" s="160">
        <v>8029219</v>
      </c>
      <c r="D27" s="161"/>
      <c r="E27" s="162">
        <v>7608528</v>
      </c>
      <c r="F27" s="162"/>
      <c r="G27" s="163">
        <f t="shared" si="1"/>
        <v>7608528</v>
      </c>
    </row>
    <row r="28" spans="1:7">
      <c r="A28" s="32" t="s">
        <v>31</v>
      </c>
      <c r="B28" s="160">
        <v>10179199.83108836</v>
      </c>
      <c r="C28" s="160">
        <v>14943367</v>
      </c>
      <c r="D28" s="161"/>
      <c r="E28" s="162">
        <v>14326910</v>
      </c>
      <c r="F28" s="162"/>
      <c r="G28" s="163">
        <f t="shared" si="1"/>
        <v>14326910</v>
      </c>
    </row>
    <row r="29" spans="1:7">
      <c r="A29" s="32" t="s">
        <v>32</v>
      </c>
      <c r="B29" s="160">
        <v>0</v>
      </c>
      <c r="C29" s="160">
        <v>0</v>
      </c>
      <c r="D29" s="161"/>
      <c r="E29" s="162"/>
      <c r="F29" s="162"/>
      <c r="G29" s="163">
        <f t="shared" si="1"/>
        <v>0</v>
      </c>
    </row>
    <row r="30" spans="1:7">
      <c r="A30" s="32" t="s">
        <v>33</v>
      </c>
      <c r="B30" s="160"/>
      <c r="C30" s="160"/>
      <c r="D30" s="161"/>
      <c r="E30" s="162"/>
      <c r="F30" s="162"/>
      <c r="G30" s="163">
        <f t="shared" si="1"/>
        <v>0</v>
      </c>
    </row>
    <row r="31" spans="1:7">
      <c r="A31" s="26" t="s">
        <v>34</v>
      </c>
      <c r="B31" s="160">
        <v>3175127</v>
      </c>
      <c r="C31" s="160">
        <v>3535333</v>
      </c>
      <c r="D31" s="161">
        <v>3575127</v>
      </c>
      <c r="E31" s="162"/>
      <c r="F31" s="162"/>
      <c r="G31" s="163">
        <f t="shared" si="1"/>
        <v>3575127</v>
      </c>
    </row>
    <row r="32" spans="1:7">
      <c r="A32" s="26" t="s">
        <v>35</v>
      </c>
      <c r="B32" s="160">
        <v>5678650.5800000001</v>
      </c>
      <c r="C32" s="160">
        <v>5678651</v>
      </c>
      <c r="D32" s="161">
        <v>5941972</v>
      </c>
      <c r="E32" s="162"/>
      <c r="F32" s="162"/>
      <c r="G32" s="163">
        <f t="shared" si="1"/>
        <v>5941972</v>
      </c>
    </row>
    <row r="33" spans="1:7" ht="15.75" thickBot="1">
      <c r="A33" s="33" t="s">
        <v>36</v>
      </c>
      <c r="B33" s="160">
        <v>4452345.1063917261</v>
      </c>
      <c r="C33" s="160">
        <v>3965171.0700000003</v>
      </c>
      <c r="D33" s="161">
        <v>1488546</v>
      </c>
      <c r="E33" s="162">
        <v>2684915</v>
      </c>
      <c r="F33" s="162">
        <v>94976</v>
      </c>
      <c r="G33" s="163">
        <f t="shared" si="1"/>
        <v>4268437</v>
      </c>
    </row>
    <row r="34" spans="1:7" s="25" customFormat="1" ht="16.5" thickTop="1">
      <c r="A34" s="37" t="s">
        <v>37</v>
      </c>
      <c r="B34" s="164">
        <v>361752787.9912414</v>
      </c>
      <c r="C34" s="164">
        <f>C14+C25+SUM(C26:C33)</f>
        <v>374165948</v>
      </c>
      <c r="D34" s="165">
        <f>D14+D25+SUM(D26:D33)</f>
        <v>234868161</v>
      </c>
      <c r="E34" s="166">
        <f>E14+E25+SUM(E26:E33)</f>
        <v>53831213</v>
      </c>
      <c r="F34" s="166">
        <f>F14+F25+SUM(F26:F33)</f>
        <v>60167703</v>
      </c>
      <c r="G34" s="164">
        <f>G14+G25+SUM(G26:G33)</f>
        <v>348867077</v>
      </c>
    </row>
    <row r="35" spans="1:7">
      <c r="A35" s="32"/>
      <c r="B35" s="160"/>
      <c r="C35" s="163"/>
      <c r="D35" s="161"/>
      <c r="E35" s="162"/>
      <c r="F35" s="167"/>
      <c r="G35" s="163"/>
    </row>
    <row r="36" spans="1:7" ht="15.75">
      <c r="A36" s="42" t="s">
        <v>38</v>
      </c>
      <c r="B36" s="168"/>
      <c r="C36" s="163"/>
      <c r="D36" s="161"/>
      <c r="E36" s="162"/>
      <c r="F36" s="162"/>
      <c r="G36" s="163"/>
    </row>
    <row r="37" spans="1:7">
      <c r="A37" s="32" t="s">
        <v>39</v>
      </c>
      <c r="B37" s="160"/>
      <c r="C37" s="163"/>
      <c r="D37" s="161"/>
      <c r="E37" s="162"/>
      <c r="F37" s="162"/>
      <c r="G37" s="163"/>
    </row>
    <row r="38" spans="1:7">
      <c r="A38" s="26" t="s">
        <v>40</v>
      </c>
      <c r="B38" s="160">
        <v>117420053.47023484</v>
      </c>
      <c r="C38" s="160">
        <v>133982175</v>
      </c>
      <c r="D38" s="162">
        <v>108217126</v>
      </c>
      <c r="E38" s="162">
        <v>23240340</v>
      </c>
      <c r="F38" s="162">
        <v>4394741</v>
      </c>
      <c r="G38" s="163">
        <f t="shared" ref="G38:G52" si="2">SUM(D38:F38)</f>
        <v>135852207</v>
      </c>
    </row>
    <row r="39" spans="1:7">
      <c r="A39" s="26" t="s">
        <v>41</v>
      </c>
      <c r="B39" s="160">
        <v>8801311.0121070743</v>
      </c>
      <c r="C39" s="160">
        <v>11624681</v>
      </c>
      <c r="D39" s="162">
        <v>55760</v>
      </c>
      <c r="E39" s="162">
        <v>315083</v>
      </c>
      <c r="F39" s="162">
        <v>8920358</v>
      </c>
      <c r="G39" s="163">
        <f t="shared" si="2"/>
        <v>9291201</v>
      </c>
    </row>
    <row r="40" spans="1:7">
      <c r="A40" s="26" t="s">
        <v>42</v>
      </c>
      <c r="B40" s="160">
        <v>7057355.5094588669</v>
      </c>
      <c r="C40" s="160">
        <v>6516867</v>
      </c>
      <c r="D40" s="162">
        <v>21807</v>
      </c>
      <c r="E40" s="162">
        <v>4469430</v>
      </c>
      <c r="F40" s="162">
        <v>3014830</v>
      </c>
      <c r="G40" s="163">
        <f t="shared" si="2"/>
        <v>7506067</v>
      </c>
    </row>
    <row r="41" spans="1:7">
      <c r="A41" s="26" t="s">
        <v>43</v>
      </c>
      <c r="B41" s="160">
        <v>32413998.352437779</v>
      </c>
      <c r="C41" s="160">
        <v>37178420</v>
      </c>
      <c r="D41" s="162">
        <v>36337670</v>
      </c>
      <c r="E41" s="162">
        <v>521976</v>
      </c>
      <c r="F41" s="162">
        <v>34206</v>
      </c>
      <c r="G41" s="163">
        <f t="shared" si="2"/>
        <v>36893852</v>
      </c>
    </row>
    <row r="42" spans="1:7">
      <c r="A42" s="26" t="s">
        <v>44</v>
      </c>
      <c r="B42" s="160">
        <v>19509627.532498471</v>
      </c>
      <c r="C42" s="160">
        <v>17431530</v>
      </c>
      <c r="D42" s="162">
        <v>13720816</v>
      </c>
      <c r="E42" s="162">
        <v>7983090</v>
      </c>
      <c r="F42" s="162">
        <v>1322</v>
      </c>
      <c r="G42" s="163">
        <f t="shared" si="2"/>
        <v>21705228</v>
      </c>
    </row>
    <row r="43" spans="1:7">
      <c r="A43" s="26" t="s">
        <v>45</v>
      </c>
      <c r="B43" s="160">
        <v>45981981.103167586</v>
      </c>
      <c r="C43" s="160">
        <v>51845034</v>
      </c>
      <c r="D43" s="162">
        <v>45710493</v>
      </c>
      <c r="E43" s="162">
        <v>296596</v>
      </c>
      <c r="F43" s="162">
        <v>5890189</v>
      </c>
      <c r="G43" s="163">
        <f t="shared" si="2"/>
        <v>51897278</v>
      </c>
    </row>
    <row r="44" spans="1:7">
      <c r="A44" s="26" t="s">
        <v>46</v>
      </c>
      <c r="B44" s="160">
        <v>19715432.701737627</v>
      </c>
      <c r="C44" s="160">
        <v>16439882</v>
      </c>
      <c r="D44" s="162">
        <v>16247717</v>
      </c>
      <c r="E44" s="162">
        <v>1497618</v>
      </c>
      <c r="F44" s="162">
        <v>573278</v>
      </c>
      <c r="G44" s="163">
        <f t="shared" si="2"/>
        <v>18318613</v>
      </c>
    </row>
    <row r="45" spans="1:7">
      <c r="A45" s="26" t="s">
        <v>80</v>
      </c>
      <c r="B45" s="160">
        <v>60263744.352190733</v>
      </c>
      <c r="C45" s="160">
        <v>53655998</v>
      </c>
      <c r="D45" s="162">
        <v>22923856</v>
      </c>
      <c r="E45" s="162">
        <v>1664064</v>
      </c>
      <c r="F45" s="162">
        <v>39578384</v>
      </c>
      <c r="G45" s="163">
        <f t="shared" si="2"/>
        <v>64166304</v>
      </c>
    </row>
    <row r="46" spans="1:7">
      <c r="A46" s="32" t="s">
        <v>48</v>
      </c>
      <c r="B46" s="160">
        <v>7599388.4840224069</v>
      </c>
      <c r="C46" s="160">
        <v>11600380</v>
      </c>
      <c r="D46" s="162">
        <v>0</v>
      </c>
      <c r="E46" s="162">
        <v>8146317</v>
      </c>
      <c r="F46" s="162">
        <v>0</v>
      </c>
      <c r="G46" s="163">
        <f t="shared" si="2"/>
        <v>8146317</v>
      </c>
    </row>
    <row r="47" spans="1:7">
      <c r="A47" s="32" t="s">
        <v>32</v>
      </c>
      <c r="B47" s="160">
        <v>18928.289624659596</v>
      </c>
      <c r="C47" s="160">
        <v>0</v>
      </c>
      <c r="D47" s="162">
        <v>0</v>
      </c>
      <c r="E47" s="162">
        <v>0</v>
      </c>
      <c r="F47" s="162">
        <v>0</v>
      </c>
      <c r="G47" s="163">
        <f t="shared" si="2"/>
        <v>0</v>
      </c>
    </row>
    <row r="48" spans="1:7">
      <c r="A48" s="32" t="s">
        <v>49</v>
      </c>
      <c r="B48" s="160">
        <v>0</v>
      </c>
      <c r="C48" s="160">
        <v>244318</v>
      </c>
      <c r="D48" s="162">
        <v>0</v>
      </c>
      <c r="E48" s="162">
        <v>0</v>
      </c>
      <c r="F48" s="162">
        <v>0</v>
      </c>
      <c r="G48" s="163">
        <f t="shared" si="2"/>
        <v>0</v>
      </c>
    </row>
    <row r="49" spans="1:7">
      <c r="A49" s="28" t="s">
        <v>66</v>
      </c>
      <c r="B49" s="160">
        <v>2151671</v>
      </c>
      <c r="C49" s="160">
        <v>4303342</v>
      </c>
      <c r="D49" s="162">
        <v>0</v>
      </c>
      <c r="E49" s="162">
        <v>0</v>
      </c>
      <c r="F49" s="162">
        <v>0</v>
      </c>
      <c r="G49" s="163">
        <f t="shared" si="2"/>
        <v>0</v>
      </c>
    </row>
    <row r="50" spans="1:7">
      <c r="A50" s="28" t="s">
        <v>67</v>
      </c>
      <c r="B50" s="160">
        <v>7234881</v>
      </c>
      <c r="C50" s="160">
        <v>7234881</v>
      </c>
      <c r="D50" s="162">
        <v>0</v>
      </c>
      <c r="E50" s="162">
        <v>0</v>
      </c>
      <c r="F50" s="162">
        <v>0</v>
      </c>
      <c r="G50" s="163">
        <f t="shared" si="2"/>
        <v>0</v>
      </c>
    </row>
    <row r="51" spans="1:7">
      <c r="A51" s="28" t="s">
        <v>68</v>
      </c>
      <c r="B51" s="160">
        <v>14484243</v>
      </c>
      <c r="C51" s="160">
        <v>14484243</v>
      </c>
      <c r="D51" s="162">
        <v>0</v>
      </c>
      <c r="E51" s="162">
        <v>0</v>
      </c>
      <c r="F51" s="162">
        <v>0</v>
      </c>
      <c r="G51" s="163">
        <f t="shared" si="2"/>
        <v>0</v>
      </c>
    </row>
    <row r="52" spans="1:7" ht="15.75" thickBot="1">
      <c r="A52" s="28" t="s">
        <v>81</v>
      </c>
      <c r="B52" s="160">
        <v>8441110</v>
      </c>
      <c r="C52" s="160">
        <v>1056190</v>
      </c>
      <c r="D52" s="162">
        <v>0</v>
      </c>
      <c r="E52" s="162">
        <v>0</v>
      </c>
      <c r="F52" s="162">
        <v>0</v>
      </c>
      <c r="G52" s="163">
        <f t="shared" si="2"/>
        <v>0</v>
      </c>
    </row>
    <row r="53" spans="1:7" s="25" customFormat="1" ht="15" customHeight="1" thickTop="1">
      <c r="A53" s="37" t="s">
        <v>50</v>
      </c>
      <c r="B53" s="164">
        <v>351093725.80748004</v>
      </c>
      <c r="C53" s="164">
        <f>SUM(C38:C52)</f>
        <v>367597941</v>
      </c>
      <c r="D53" s="165">
        <f>SUM(D38:D52)</f>
        <v>243235245</v>
      </c>
      <c r="E53" s="166">
        <f>SUM(E38:E52)</f>
        <v>48134514</v>
      </c>
      <c r="F53" s="166">
        <f>SUM(F38:F52)</f>
        <v>62407308</v>
      </c>
      <c r="G53" s="164">
        <f>SUM(G38:G52)</f>
        <v>353777067</v>
      </c>
    </row>
    <row r="54" spans="1:7">
      <c r="A54" s="32"/>
      <c r="B54" s="160"/>
      <c r="C54" s="163"/>
      <c r="D54" s="161"/>
      <c r="E54" s="162"/>
      <c r="F54" s="162"/>
      <c r="G54" s="163"/>
    </row>
    <row r="55" spans="1:7" ht="15.75">
      <c r="A55" s="42" t="s">
        <v>51</v>
      </c>
      <c r="B55" s="168"/>
      <c r="C55" s="163"/>
      <c r="D55" s="161"/>
      <c r="E55" s="162"/>
      <c r="F55" s="162"/>
      <c r="G55" s="163"/>
    </row>
    <row r="56" spans="1:7">
      <c r="A56" s="32" t="s">
        <v>52</v>
      </c>
      <c r="B56" s="160"/>
      <c r="C56" s="163"/>
      <c r="D56" s="161"/>
      <c r="E56" s="162"/>
      <c r="F56" s="162"/>
      <c r="G56" s="163"/>
    </row>
    <row r="57" spans="1:7">
      <c r="A57" s="26" t="s">
        <v>53</v>
      </c>
      <c r="B57" s="160">
        <v>12110144</v>
      </c>
      <c r="C57" s="160">
        <v>3586252</v>
      </c>
      <c r="D57" s="161">
        <v>6766493</v>
      </c>
      <c r="E57" s="162">
        <v>5696699</v>
      </c>
      <c r="F57" s="169">
        <v>0</v>
      </c>
      <c r="G57" s="163">
        <f>SUM(D57:F57)</f>
        <v>12463192</v>
      </c>
    </row>
    <row r="58" spans="1:7">
      <c r="A58" s="26" t="s">
        <v>54</v>
      </c>
      <c r="B58" s="126">
        <v>0</v>
      </c>
      <c r="C58" s="125">
        <v>0</v>
      </c>
      <c r="D58" s="125">
        <v>0</v>
      </c>
      <c r="E58" s="18">
        <v>0</v>
      </c>
      <c r="F58" s="18">
        <v>0</v>
      </c>
      <c r="G58" s="17">
        <f>SUM(D58:F58)</f>
        <v>0</v>
      </c>
    </row>
    <row r="59" spans="1:7">
      <c r="A59" s="124" t="s">
        <v>55</v>
      </c>
      <c r="B59" s="126">
        <v>0</v>
      </c>
      <c r="C59" s="125">
        <v>0</v>
      </c>
      <c r="D59" s="125">
        <v>0</v>
      </c>
      <c r="E59" s="49">
        <v>0</v>
      </c>
      <c r="F59" s="18">
        <v>0</v>
      </c>
      <c r="G59" s="17">
        <f>SUM(D59:F59)</f>
        <v>0</v>
      </c>
    </row>
    <row r="60" spans="1:7" ht="15.75">
      <c r="A60" s="130" t="s">
        <v>56</v>
      </c>
      <c r="B60" s="157">
        <v>12110144</v>
      </c>
      <c r="C60" s="157">
        <f>SUM(C57:C59)</f>
        <v>3586252</v>
      </c>
      <c r="D60" s="158">
        <f>SUM(D57:D59)</f>
        <v>6766493</v>
      </c>
      <c r="E60" s="159">
        <f>SUM(E57:E59)</f>
        <v>5696699</v>
      </c>
      <c r="F60" s="159">
        <f>SUM(F57:F59)</f>
        <v>0</v>
      </c>
      <c r="G60" s="157">
        <f>SUM(G57:G59)</f>
        <v>12463192</v>
      </c>
    </row>
    <row r="61" spans="1:7">
      <c r="A61" s="32"/>
      <c r="B61" s="160"/>
      <c r="C61" s="163"/>
      <c r="D61" s="161"/>
      <c r="E61" s="162"/>
      <c r="F61" s="162"/>
      <c r="G61" s="163"/>
    </row>
    <row r="62" spans="1:7">
      <c r="A62" s="32" t="s">
        <v>57</v>
      </c>
      <c r="B62" s="160"/>
      <c r="C62" s="163"/>
      <c r="D62" s="161"/>
      <c r="E62" s="162"/>
      <c r="F62" s="162"/>
      <c r="G62" s="163"/>
    </row>
    <row r="63" spans="1:7">
      <c r="A63" s="26" t="s">
        <v>58</v>
      </c>
      <c r="B63" s="160">
        <v>0</v>
      </c>
      <c r="C63" s="160"/>
      <c r="D63" s="161">
        <v>0</v>
      </c>
      <c r="E63" s="162">
        <v>0</v>
      </c>
      <c r="F63" s="162">
        <v>0</v>
      </c>
      <c r="G63" s="163">
        <f>SUM(D63:F63)</f>
        <v>0</v>
      </c>
    </row>
    <row r="64" spans="1:7">
      <c r="A64" s="28" t="s">
        <v>49</v>
      </c>
      <c r="B64" s="170">
        <v>-1451082</v>
      </c>
      <c r="C64" s="160">
        <v>2981755</v>
      </c>
      <c r="D64" s="171">
        <v>-15133577</v>
      </c>
      <c r="E64" s="172">
        <v>0</v>
      </c>
      <c r="F64" s="173">
        <v>-2239605</v>
      </c>
      <c r="G64" s="163">
        <f>SUM(D64:F64)</f>
        <v>-17373182</v>
      </c>
    </row>
    <row r="65" spans="1:7" ht="16.5" thickBot="1">
      <c r="A65" s="174" t="s">
        <v>59</v>
      </c>
      <c r="B65" s="175">
        <v>-1451082</v>
      </c>
      <c r="C65" s="175">
        <f>SUM(C63:C64)</f>
        <v>2981755</v>
      </c>
      <c r="D65" s="176">
        <f>SUM(D63:D64)</f>
        <v>-15133577</v>
      </c>
      <c r="E65" s="177">
        <f>SUM(E63:E64)</f>
        <v>0</v>
      </c>
      <c r="F65" s="177">
        <f>SUM(F63:F64)</f>
        <v>-2239605</v>
      </c>
      <c r="G65" s="175">
        <f>SUM(G63:G64)</f>
        <v>-17373182</v>
      </c>
    </row>
    <row r="66" spans="1:7" s="25" customFormat="1" ht="16.5" thickTop="1">
      <c r="A66" s="178" t="s">
        <v>60</v>
      </c>
      <c r="B66" s="179">
        <f t="shared" ref="B66:G66" si="3">B53+B60+B65</f>
        <v>361752787.80748004</v>
      </c>
      <c r="C66" s="179">
        <f t="shared" si="3"/>
        <v>374165948</v>
      </c>
      <c r="D66" s="165">
        <f t="shared" si="3"/>
        <v>234868161</v>
      </c>
      <c r="E66" s="166">
        <f t="shared" si="3"/>
        <v>53831213</v>
      </c>
      <c r="F66" s="179">
        <f t="shared" si="3"/>
        <v>60167703</v>
      </c>
      <c r="G66" s="180">
        <f t="shared" si="3"/>
        <v>348867077</v>
      </c>
    </row>
    <row r="67" spans="1:7" ht="15.75">
      <c r="A67" s="181" t="s">
        <v>70</v>
      </c>
      <c r="B67" s="182"/>
      <c r="C67" s="183"/>
      <c r="D67" s="184"/>
      <c r="E67" s="185"/>
      <c r="F67" s="185"/>
      <c r="G67" s="186"/>
    </row>
    <row r="68" spans="1:7" s="65" customFormat="1" ht="15.75" thickBot="1">
      <c r="A68" s="187" t="s">
        <v>72</v>
      </c>
      <c r="B68" s="188">
        <f t="shared" ref="B68:G68" si="4">B34-B53-B60-B65</f>
        <v>0.1837613582611084</v>
      </c>
      <c r="C68" s="189">
        <f t="shared" si="4"/>
        <v>0</v>
      </c>
      <c r="D68" s="190">
        <f t="shared" si="4"/>
        <v>0</v>
      </c>
      <c r="E68" s="191">
        <f t="shared" si="4"/>
        <v>0</v>
      </c>
      <c r="F68" s="191">
        <f t="shared" si="4"/>
        <v>0</v>
      </c>
      <c r="G68" s="189">
        <f t="shared" si="4"/>
        <v>0</v>
      </c>
    </row>
  </sheetData>
  <mergeCells count="3">
    <mergeCell ref="A5:A6"/>
    <mergeCell ref="B5:C5"/>
    <mergeCell ref="D5:G5"/>
  </mergeCells>
  <printOptions horizontalCentered="1"/>
  <pageMargins left="0.25" right="0.25" top="0.5" bottom="0.75" header="0.3" footer="0.3"/>
  <pageSetup scale="76" fitToWidth="3" fitToHeight="3" orientation="landscape" r:id="rId1"/>
  <headerFooter alignWithMargins="0"/>
  <rowBreaks count="1" manualBreakCount="1">
    <brk id="3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view="pageBreakPreview" zoomScale="80" zoomScaleNormal="80" zoomScaleSheetLayoutView="80" workbookViewId="0">
      <selection activeCell="A69" sqref="A69:G69"/>
    </sheetView>
  </sheetViews>
  <sheetFormatPr defaultColWidth="9.140625" defaultRowHeight="15"/>
  <cols>
    <col min="1" max="1" width="58.140625" style="2" customWidth="1"/>
    <col min="2" max="7" width="19.7109375" style="2" customWidth="1"/>
    <col min="8" max="16384" width="9.140625" style="2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 ht="15.75">
      <c r="A3" s="3" t="s">
        <v>77</v>
      </c>
      <c r="B3" s="1"/>
      <c r="C3" s="1"/>
      <c r="D3" s="1"/>
      <c r="E3" s="1"/>
      <c r="F3" s="1"/>
      <c r="G3" s="1"/>
    </row>
    <row r="4" spans="1:7" ht="16.5" thickBot="1">
      <c r="A4" s="1"/>
      <c r="B4" s="1"/>
      <c r="C4" s="1"/>
      <c r="D4" s="1"/>
      <c r="E4" s="1"/>
      <c r="F4" s="1"/>
      <c r="G4" s="1"/>
    </row>
    <row r="5" spans="1:7" ht="15.75" customHeight="1" thickBot="1">
      <c r="A5" s="330" t="s">
        <v>3</v>
      </c>
      <c r="B5" s="346" t="s">
        <v>4</v>
      </c>
      <c r="C5" s="347"/>
      <c r="D5" s="348" t="s">
        <v>5</v>
      </c>
      <c r="E5" s="349"/>
      <c r="F5" s="349"/>
      <c r="G5" s="350"/>
    </row>
    <row r="6" spans="1:7" s="7" customFormat="1" ht="69.75" customHeight="1" thickBot="1">
      <c r="A6" s="331"/>
      <c r="B6" s="149" t="s">
        <v>6</v>
      </c>
      <c r="C6" s="149" t="s">
        <v>7</v>
      </c>
      <c r="D6" s="151" t="s">
        <v>8</v>
      </c>
      <c r="E6" s="150" t="s">
        <v>9</v>
      </c>
      <c r="F6" s="150" t="s">
        <v>10</v>
      </c>
      <c r="G6" s="149" t="s">
        <v>11</v>
      </c>
    </row>
    <row r="7" spans="1:7" ht="17.100000000000001" customHeight="1">
      <c r="A7" s="8" t="s">
        <v>12</v>
      </c>
      <c r="B7" s="148"/>
      <c r="C7" s="147"/>
      <c r="D7" s="147"/>
      <c r="E7" s="146"/>
      <c r="F7" s="146"/>
      <c r="G7" s="12"/>
    </row>
    <row r="8" spans="1:7" ht="17.100000000000001" customHeight="1">
      <c r="A8" s="13" t="s">
        <v>13</v>
      </c>
      <c r="B8" s="145"/>
      <c r="C8" s="144"/>
      <c r="D8" s="144"/>
      <c r="E8" s="11"/>
      <c r="F8" s="11"/>
      <c r="G8" s="10"/>
    </row>
    <row r="9" spans="1:7" ht="17.100000000000001" customHeight="1">
      <c r="A9" s="16" t="s">
        <v>14</v>
      </c>
      <c r="B9" s="135">
        <v>1293659</v>
      </c>
      <c r="C9" s="125">
        <v>1293659</v>
      </c>
      <c r="D9" s="125">
        <v>1362420</v>
      </c>
      <c r="E9" s="18">
        <v>0</v>
      </c>
      <c r="F9" s="18">
        <v>0</v>
      </c>
      <c r="G9" s="20">
        <f t="shared" ref="G9:G14" si="0">SUM(D9:F9)</f>
        <v>1362420</v>
      </c>
    </row>
    <row r="10" spans="1:7" ht="17.100000000000001" customHeight="1">
      <c r="A10" s="16" t="s">
        <v>15</v>
      </c>
      <c r="B10" s="135">
        <f>63987071.5158277+181126-634911</f>
        <v>63533286.5158277</v>
      </c>
      <c r="C10" s="125">
        <v>64358152.622950256</v>
      </c>
      <c r="D10" s="125">
        <v>65259302.353600003</v>
      </c>
      <c r="E10" s="18">
        <v>0</v>
      </c>
      <c r="F10" s="18">
        <v>0</v>
      </c>
      <c r="G10" s="20">
        <f t="shared" si="0"/>
        <v>65259302.353600003</v>
      </c>
    </row>
    <row r="11" spans="1:7" ht="17.100000000000001" customHeight="1">
      <c r="A11" s="16" t="s">
        <v>16</v>
      </c>
      <c r="B11" s="135">
        <f>33247870.8841723+184955+3587251</f>
        <v>37020076.884172305</v>
      </c>
      <c r="C11" s="125">
        <v>35315623.64712882</v>
      </c>
      <c r="D11" s="125">
        <v>37036204.864799999</v>
      </c>
      <c r="E11" s="18">
        <v>0</v>
      </c>
      <c r="F11" s="18">
        <v>0</v>
      </c>
      <c r="G11" s="20">
        <f t="shared" si="0"/>
        <v>37036204.864799999</v>
      </c>
    </row>
    <row r="12" spans="1:7" ht="17.100000000000001" customHeight="1">
      <c r="A12" s="16" t="s">
        <v>17</v>
      </c>
      <c r="B12" s="135">
        <v>12378925.894563813</v>
      </c>
      <c r="C12" s="125">
        <v>10443800.407687142</v>
      </c>
      <c r="D12" s="125">
        <v>0</v>
      </c>
      <c r="E12" s="18">
        <v>10518473.369371127</v>
      </c>
      <c r="F12" s="18">
        <v>0</v>
      </c>
      <c r="G12" s="20">
        <f t="shared" si="0"/>
        <v>10518473.369371127</v>
      </c>
    </row>
    <row r="13" spans="1:7" ht="17.100000000000001" customHeight="1">
      <c r="A13" s="26" t="s">
        <v>18</v>
      </c>
      <c r="B13" s="135">
        <v>12083308.988973837</v>
      </c>
      <c r="C13" s="125">
        <v>12041282.67277425</v>
      </c>
      <c r="D13" s="125">
        <v>3365177.5833682166</v>
      </c>
      <c r="E13" s="18">
        <v>9516102.6117003225</v>
      </c>
      <c r="F13" s="18">
        <v>0</v>
      </c>
      <c r="G13" s="20">
        <f t="shared" si="0"/>
        <v>12881280.195068538</v>
      </c>
    </row>
    <row r="14" spans="1:7" ht="17.100000000000001" customHeight="1">
      <c r="A14" s="143" t="s">
        <v>76</v>
      </c>
      <c r="B14" s="126">
        <f>10602045.26+176893</f>
        <v>10778938.26</v>
      </c>
      <c r="C14" s="125">
        <v>10550393.455129212</v>
      </c>
      <c r="D14" s="125">
        <v>10997931.347199999</v>
      </c>
      <c r="E14" s="18">
        <v>0</v>
      </c>
      <c r="F14" s="18">
        <v>0</v>
      </c>
      <c r="G14" s="20">
        <f t="shared" si="0"/>
        <v>10997931.347199999</v>
      </c>
    </row>
    <row r="15" spans="1:7" s="25" customFormat="1" ht="17.100000000000001" customHeight="1">
      <c r="A15" s="22" t="s">
        <v>19</v>
      </c>
      <c r="B15" s="142">
        <f t="shared" ref="B15:G15" si="1">SUM(B9:B14)</f>
        <v>137088195.54353765</v>
      </c>
      <c r="C15" s="141">
        <f t="shared" si="1"/>
        <v>134002911.80566968</v>
      </c>
      <c r="D15" s="141">
        <f t="shared" si="1"/>
        <v>118021036.14896822</v>
      </c>
      <c r="E15" s="23">
        <f t="shared" si="1"/>
        <v>20034575.98107145</v>
      </c>
      <c r="F15" s="23">
        <f t="shared" si="1"/>
        <v>0</v>
      </c>
      <c r="G15" s="30">
        <f t="shared" si="1"/>
        <v>138055612.13003966</v>
      </c>
    </row>
    <row r="16" spans="1:7" ht="17.100000000000001" customHeight="1">
      <c r="A16" s="13" t="s">
        <v>20</v>
      </c>
      <c r="B16" s="135">
        <v>24121334.213469692</v>
      </c>
      <c r="C16" s="125">
        <v>17890381.20101352</v>
      </c>
      <c r="D16" s="125">
        <v>0</v>
      </c>
      <c r="E16" s="18">
        <v>15620524.185984245</v>
      </c>
      <c r="F16" s="18">
        <v>0</v>
      </c>
      <c r="G16" s="20">
        <f>SUM(D16:F16)</f>
        <v>15620524.185984245</v>
      </c>
    </row>
    <row r="17" spans="1:7" ht="17.100000000000001" customHeight="1">
      <c r="A17" s="13" t="s">
        <v>21</v>
      </c>
      <c r="B17" s="135"/>
      <c r="C17" s="125"/>
      <c r="D17" s="125"/>
      <c r="E17" s="18"/>
      <c r="F17" s="18"/>
      <c r="G17" s="20"/>
    </row>
    <row r="18" spans="1:7" ht="17.100000000000001" customHeight="1">
      <c r="A18" s="16" t="s">
        <v>22</v>
      </c>
      <c r="B18" s="135">
        <v>284875354.43076056</v>
      </c>
      <c r="C18" s="125">
        <v>321696415.98850101</v>
      </c>
      <c r="D18" s="125">
        <v>0</v>
      </c>
      <c r="E18" s="18">
        <v>0</v>
      </c>
      <c r="F18" s="18">
        <v>338258454.44309098</v>
      </c>
      <c r="G18" s="20">
        <f t="shared" ref="G18:G26" si="2">SUM(D18:F18)</f>
        <v>338258454.44309098</v>
      </c>
    </row>
    <row r="19" spans="1:7" ht="17.100000000000001" customHeight="1">
      <c r="A19" s="16" t="s">
        <v>23</v>
      </c>
      <c r="B19" s="135">
        <v>27466302.513996795</v>
      </c>
      <c r="C19" s="125">
        <v>27288720.672041856</v>
      </c>
      <c r="D19" s="125">
        <v>0</v>
      </c>
      <c r="E19" s="18">
        <v>0</v>
      </c>
      <c r="F19" s="18">
        <v>27846399.805313364</v>
      </c>
      <c r="G19" s="20">
        <f t="shared" si="2"/>
        <v>27846399.805313364</v>
      </c>
    </row>
    <row r="20" spans="1:7" ht="17.100000000000001" customHeight="1">
      <c r="A20" s="16" t="s">
        <v>75</v>
      </c>
      <c r="B20" s="135">
        <v>15244624</v>
      </c>
      <c r="C20" s="125">
        <v>15244624</v>
      </c>
      <c r="D20" s="125">
        <v>15206425</v>
      </c>
      <c r="E20" s="18">
        <v>0</v>
      </c>
      <c r="F20" s="18">
        <v>0</v>
      </c>
      <c r="G20" s="20">
        <f t="shared" si="2"/>
        <v>15206425</v>
      </c>
    </row>
    <row r="21" spans="1:7" ht="17.100000000000001" customHeight="1">
      <c r="A21" s="26" t="s">
        <v>74</v>
      </c>
      <c r="B21" s="135">
        <f>10455000-2630000+500000</f>
        <v>8325000</v>
      </c>
      <c r="C21" s="125">
        <v>8325000</v>
      </c>
      <c r="D21" s="125">
        <v>6825000</v>
      </c>
      <c r="E21" s="18">
        <v>0</v>
      </c>
      <c r="F21" s="18">
        <v>0</v>
      </c>
      <c r="G21" s="20">
        <f t="shared" si="2"/>
        <v>6825000</v>
      </c>
    </row>
    <row r="22" spans="1:7" ht="17.100000000000001" customHeight="1">
      <c r="A22" s="26" t="s">
        <v>85</v>
      </c>
      <c r="B22" s="135">
        <f>82678038+239778</f>
        <v>82917816</v>
      </c>
      <c r="C22" s="125">
        <v>82917816</v>
      </c>
      <c r="D22" s="125">
        <v>92212763</v>
      </c>
      <c r="E22" s="18">
        <v>0</v>
      </c>
      <c r="F22" s="18">
        <v>0</v>
      </c>
      <c r="G22" s="20">
        <f t="shared" si="2"/>
        <v>92212763</v>
      </c>
    </row>
    <row r="23" spans="1:7" ht="17.100000000000001" customHeight="1">
      <c r="A23" s="28" t="s">
        <v>66</v>
      </c>
      <c r="B23" s="135">
        <v>0</v>
      </c>
      <c r="C23" s="125">
        <v>0</v>
      </c>
      <c r="D23" s="125">
        <v>0</v>
      </c>
      <c r="E23" s="18">
        <v>0</v>
      </c>
      <c r="F23" s="18">
        <v>0</v>
      </c>
      <c r="G23" s="20">
        <f t="shared" si="2"/>
        <v>0</v>
      </c>
    </row>
    <row r="24" spans="1:7" ht="17.100000000000001" customHeight="1">
      <c r="A24" s="28" t="s">
        <v>67</v>
      </c>
      <c r="B24" s="135">
        <v>1900000</v>
      </c>
      <c r="C24" s="125">
        <v>0</v>
      </c>
      <c r="D24" s="125">
        <v>0</v>
      </c>
      <c r="E24" s="18">
        <v>0</v>
      </c>
      <c r="F24" s="18">
        <v>0</v>
      </c>
      <c r="G24" s="20">
        <f t="shared" si="2"/>
        <v>0</v>
      </c>
    </row>
    <row r="25" spans="1:7" ht="17.100000000000001" customHeight="1">
      <c r="A25" s="28" t="s">
        <v>68</v>
      </c>
      <c r="B25" s="135">
        <v>2654844.7312000003</v>
      </c>
      <c r="C25" s="125">
        <v>2654845</v>
      </c>
      <c r="D25" s="125">
        <v>0</v>
      </c>
      <c r="E25" s="18">
        <v>0</v>
      </c>
      <c r="F25" s="18">
        <v>0</v>
      </c>
      <c r="G25" s="20">
        <f t="shared" si="2"/>
        <v>0</v>
      </c>
    </row>
    <row r="26" spans="1:7" ht="17.100000000000001" customHeight="1">
      <c r="A26" s="28" t="s">
        <v>69</v>
      </c>
      <c r="B26" s="135">
        <v>8441110</v>
      </c>
      <c r="C26" s="125">
        <v>200000</v>
      </c>
      <c r="D26" s="125">
        <v>0</v>
      </c>
      <c r="E26" s="18">
        <v>0</v>
      </c>
      <c r="F26" s="18">
        <v>0</v>
      </c>
      <c r="G26" s="20">
        <f t="shared" si="2"/>
        <v>0</v>
      </c>
    </row>
    <row r="27" spans="1:7" s="25" customFormat="1" ht="17.100000000000001" customHeight="1">
      <c r="A27" s="29" t="s">
        <v>28</v>
      </c>
      <c r="B27" s="142">
        <f t="shared" ref="B27:G27" si="3">SUM(B16:B26)</f>
        <v>455946385.88942701</v>
      </c>
      <c r="C27" s="141">
        <f t="shared" si="3"/>
        <v>476217802.86155635</v>
      </c>
      <c r="D27" s="141">
        <f t="shared" si="3"/>
        <v>114244188</v>
      </c>
      <c r="E27" s="23">
        <f t="shared" si="3"/>
        <v>15620524.185984245</v>
      </c>
      <c r="F27" s="23">
        <f t="shared" si="3"/>
        <v>366104854.24840432</v>
      </c>
      <c r="G27" s="30">
        <f t="shared" si="3"/>
        <v>495969566.43438858</v>
      </c>
    </row>
    <row r="28" spans="1:7" ht="17.100000000000001" customHeight="1">
      <c r="A28" s="32" t="s">
        <v>29</v>
      </c>
      <c r="B28" s="135">
        <v>207025592.52454594</v>
      </c>
      <c r="C28" s="125">
        <v>234427139.29992986</v>
      </c>
      <c r="D28" s="125">
        <v>0</v>
      </c>
      <c r="E28" s="18">
        <v>0</v>
      </c>
      <c r="F28" s="18">
        <v>243525526.35588762</v>
      </c>
      <c r="G28" s="20">
        <f>SUM(D28:F28)</f>
        <v>243525526.35588762</v>
      </c>
    </row>
    <row r="29" spans="1:7" ht="17.100000000000001" customHeight="1">
      <c r="A29" s="32" t="s">
        <v>30</v>
      </c>
      <c r="B29" s="135">
        <v>220385476.35658404</v>
      </c>
      <c r="C29" s="125">
        <v>232777974.66423792</v>
      </c>
      <c r="D29" s="125">
        <v>0</v>
      </c>
      <c r="E29" s="18">
        <v>237929951.69206166</v>
      </c>
      <c r="F29" s="18">
        <v>0</v>
      </c>
      <c r="G29" s="20">
        <f>SUM(D29:F29)</f>
        <v>237929951.69206166</v>
      </c>
    </row>
    <row r="30" spans="1:7" ht="17.100000000000001" customHeight="1">
      <c r="A30" s="32" t="s">
        <v>31</v>
      </c>
      <c r="B30" s="135">
        <v>4716928.161265769</v>
      </c>
      <c r="C30" s="125">
        <v>6115385.0073464774</v>
      </c>
      <c r="D30" s="125">
        <v>0</v>
      </c>
      <c r="E30" s="18">
        <v>4946272.2045179047</v>
      </c>
      <c r="F30" s="18">
        <v>0</v>
      </c>
      <c r="G30" s="20">
        <f>SUM(D30:F30)</f>
        <v>4946272.2045179047</v>
      </c>
    </row>
    <row r="31" spans="1:7" ht="17.100000000000001" customHeight="1">
      <c r="A31" s="32" t="s">
        <v>32</v>
      </c>
      <c r="B31" s="135">
        <v>1315584794.801995</v>
      </c>
      <c r="C31" s="125">
        <v>1324775610.7124441</v>
      </c>
      <c r="D31" s="125">
        <v>1629355.8667367655</v>
      </c>
      <c r="E31" s="18">
        <v>1415600000.0338078</v>
      </c>
      <c r="F31" s="18">
        <v>0</v>
      </c>
      <c r="G31" s="20">
        <f>SUM(D31:F31)</f>
        <v>1417229355.9005444</v>
      </c>
    </row>
    <row r="32" spans="1:7" ht="17.100000000000001" customHeight="1">
      <c r="A32" s="140" t="s">
        <v>33</v>
      </c>
      <c r="B32" s="126"/>
      <c r="C32" s="125"/>
      <c r="D32" s="125"/>
      <c r="E32" s="18"/>
      <c r="F32" s="18"/>
      <c r="G32" s="20"/>
    </row>
    <row r="33" spans="1:7" ht="17.100000000000001" customHeight="1">
      <c r="A33" s="26" t="s">
        <v>34</v>
      </c>
      <c r="B33" s="135">
        <f>106386166+23622786</f>
        <v>130008952</v>
      </c>
      <c r="C33" s="125">
        <v>130335899.38694511</v>
      </c>
      <c r="D33" s="125">
        <v>132129417</v>
      </c>
      <c r="E33" s="18">
        <v>0</v>
      </c>
      <c r="F33" s="18">
        <v>0</v>
      </c>
      <c r="G33" s="20">
        <f>SUM(D33:F33)</f>
        <v>132129417</v>
      </c>
    </row>
    <row r="34" spans="1:7" ht="17.100000000000001" customHeight="1">
      <c r="A34" s="26" t="s">
        <v>35</v>
      </c>
      <c r="B34" s="135">
        <v>0</v>
      </c>
      <c r="C34" s="125">
        <v>0</v>
      </c>
      <c r="D34" s="125">
        <v>0</v>
      </c>
      <c r="E34" s="18">
        <v>0</v>
      </c>
      <c r="F34" s="18">
        <v>0</v>
      </c>
      <c r="G34" s="20">
        <f>SUM(D34:F34)</f>
        <v>0</v>
      </c>
    </row>
    <row r="35" spans="1:7" ht="17.100000000000001" customHeight="1" thickBot="1">
      <c r="A35" s="33" t="s">
        <v>36</v>
      </c>
      <c r="B35" s="135">
        <v>56165882.937168285</v>
      </c>
      <c r="C35" s="125">
        <v>42163862.739138603</v>
      </c>
      <c r="D35" s="125">
        <v>13849214.638488976</v>
      </c>
      <c r="E35" s="35">
        <v>24270258.430569947</v>
      </c>
      <c r="F35" s="18">
        <v>5132257.75394422</v>
      </c>
      <c r="G35" s="20">
        <f>SUM(D35:F35)</f>
        <v>43251730.823003143</v>
      </c>
    </row>
    <row r="36" spans="1:7" s="25" customFormat="1" ht="17.100000000000001" customHeight="1" thickTop="1">
      <c r="A36" s="37" t="s">
        <v>37</v>
      </c>
      <c r="B36" s="139">
        <f t="shared" ref="B36:G36" si="4">SUM(B28:B35)+B27+B15</f>
        <v>2526922208.2145238</v>
      </c>
      <c r="C36" s="138">
        <f t="shared" si="4"/>
        <v>2580816586.4772682</v>
      </c>
      <c r="D36" s="138">
        <f t="shared" si="4"/>
        <v>379873211.654194</v>
      </c>
      <c r="E36" s="137">
        <f t="shared" si="4"/>
        <v>1718401582.5280128</v>
      </c>
      <c r="F36" s="56">
        <f t="shared" si="4"/>
        <v>614762638.35823619</v>
      </c>
      <c r="G36" s="55">
        <f t="shared" si="4"/>
        <v>2713037432.5404429</v>
      </c>
    </row>
    <row r="37" spans="1:7">
      <c r="A37" s="32"/>
      <c r="B37" s="135"/>
      <c r="C37" s="134"/>
      <c r="D37" s="134"/>
      <c r="E37" s="19"/>
      <c r="F37" s="19"/>
      <c r="G37" s="17"/>
    </row>
    <row r="38" spans="1:7" ht="17.100000000000001" customHeight="1">
      <c r="A38" s="42" t="s">
        <v>38</v>
      </c>
      <c r="B38" s="136"/>
      <c r="C38" s="134"/>
      <c r="D38" s="134"/>
      <c r="E38" s="19"/>
      <c r="F38" s="19"/>
      <c r="G38" s="17"/>
    </row>
    <row r="39" spans="1:7" ht="17.100000000000001" customHeight="1">
      <c r="A39" s="32" t="s">
        <v>39</v>
      </c>
      <c r="B39" s="135"/>
      <c r="C39" s="134"/>
      <c r="D39" s="134"/>
      <c r="E39" s="19"/>
      <c r="F39" s="19"/>
      <c r="G39" s="17"/>
    </row>
    <row r="40" spans="1:7" ht="17.100000000000001" customHeight="1">
      <c r="A40" s="26" t="s">
        <v>40</v>
      </c>
      <c r="B40" s="126">
        <v>456038476.24731624</v>
      </c>
      <c r="C40" s="125">
        <v>468552396.97735202</v>
      </c>
      <c r="D40" s="125">
        <f>158044883.310227+1000000</f>
        <v>159044883.31022701</v>
      </c>
      <c r="E40" s="18">
        <v>159004871.82196894</v>
      </c>
      <c r="F40" s="18">
        <v>158633722.8771314</v>
      </c>
      <c r="G40" s="17">
        <f t="shared" ref="G40:G54" si="5">SUM(D40:F40)</f>
        <v>476683478.00932735</v>
      </c>
    </row>
    <row r="41" spans="1:7" ht="17.100000000000001" customHeight="1">
      <c r="A41" s="26" t="s">
        <v>41</v>
      </c>
      <c r="B41" s="126">
        <v>333490557.37549484</v>
      </c>
      <c r="C41" s="125">
        <v>451194055.65747845</v>
      </c>
      <c r="D41" s="125">
        <v>1126837.54650305</v>
      </c>
      <c r="E41" s="18">
        <v>23335816.819098964</v>
      </c>
      <c r="F41" s="18">
        <v>434784878.93437678</v>
      </c>
      <c r="G41" s="17">
        <f t="shared" si="5"/>
        <v>459247533.29997879</v>
      </c>
    </row>
    <row r="42" spans="1:7" ht="17.100000000000001" customHeight="1">
      <c r="A42" s="26" t="s">
        <v>42</v>
      </c>
      <c r="B42" s="126">
        <v>149319198.0710803</v>
      </c>
      <c r="C42" s="125">
        <v>147494551.33255178</v>
      </c>
      <c r="D42" s="125">
        <v>3048.1275728329574</v>
      </c>
      <c r="E42" s="18">
        <v>138285879.39069194</v>
      </c>
      <c r="F42" s="18">
        <v>4184782.8252173578</v>
      </c>
      <c r="G42" s="17">
        <f t="shared" si="5"/>
        <v>142473710.34348214</v>
      </c>
    </row>
    <row r="43" spans="1:7" ht="17.100000000000001" customHeight="1">
      <c r="A43" s="26" t="s">
        <v>43</v>
      </c>
      <c r="B43" s="126">
        <v>52045879.906214669</v>
      </c>
      <c r="C43" s="125">
        <v>52049362.347061798</v>
      </c>
      <c r="D43" s="125">
        <v>48266487.0341134</v>
      </c>
      <c r="E43" s="18">
        <v>6810289.5952265318</v>
      </c>
      <c r="F43" s="18">
        <v>425851.98653689394</v>
      </c>
      <c r="G43" s="17">
        <f t="shared" si="5"/>
        <v>55502628.615876824</v>
      </c>
    </row>
    <row r="44" spans="1:7" ht="17.100000000000001" customHeight="1">
      <c r="A44" s="26" t="s">
        <v>44</v>
      </c>
      <c r="B44" s="126">
        <v>16768733.339730097</v>
      </c>
      <c r="C44" s="125">
        <v>6162477.7553886417</v>
      </c>
      <c r="D44" s="125">
        <v>6110863.8733928446</v>
      </c>
      <c r="E44" s="18">
        <v>238119.74043840251</v>
      </c>
      <c r="F44" s="18">
        <v>4034.6210144790734</v>
      </c>
      <c r="G44" s="17">
        <f t="shared" si="5"/>
        <v>6353018.2348457258</v>
      </c>
    </row>
    <row r="45" spans="1:7" ht="17.100000000000001" customHeight="1">
      <c r="A45" s="26" t="s">
        <v>45</v>
      </c>
      <c r="B45" s="126">
        <v>63110851.377879798</v>
      </c>
      <c r="C45" s="125">
        <v>71517285.723974898</v>
      </c>
      <c r="D45" s="125">
        <v>65279722.883140802</v>
      </c>
      <c r="E45" s="18">
        <v>10477437.784690998</v>
      </c>
      <c r="F45" s="18">
        <v>820941.49471344147</v>
      </c>
      <c r="G45" s="17">
        <f t="shared" si="5"/>
        <v>76578102.162545249</v>
      </c>
    </row>
    <row r="46" spans="1:7" ht="17.100000000000001" customHeight="1">
      <c r="A46" s="26" t="s">
        <v>46</v>
      </c>
      <c r="B46" s="126">
        <v>64151314.178010263</v>
      </c>
      <c r="C46" s="125">
        <v>45104199.560424894</v>
      </c>
      <c r="D46" s="125">
        <v>35147173.492867798</v>
      </c>
      <c r="E46" s="18">
        <v>2116463.9868942578</v>
      </c>
      <c r="F46" s="18">
        <v>0</v>
      </c>
      <c r="G46" s="20">
        <f t="shared" si="5"/>
        <v>37263637.479762055</v>
      </c>
    </row>
    <row r="47" spans="1:7" ht="17.100000000000001" customHeight="1">
      <c r="A47" s="26" t="s">
        <v>47</v>
      </c>
      <c r="B47" s="126">
        <v>20831281.634682689</v>
      </c>
      <c r="C47" s="125">
        <v>16657462.2723983</v>
      </c>
      <c r="D47" s="125">
        <v>4383653.1731550694</v>
      </c>
      <c r="E47" s="18">
        <v>4915.4865375085337</v>
      </c>
      <c r="F47" s="18">
        <v>14727199.305631913</v>
      </c>
      <c r="G47" s="17">
        <f t="shared" si="5"/>
        <v>19115767.965324491</v>
      </c>
    </row>
    <row r="48" spans="1:7" ht="17.100000000000001" customHeight="1">
      <c r="A48" s="32" t="s">
        <v>48</v>
      </c>
      <c r="B48" s="126">
        <v>15950587.037849359</v>
      </c>
      <c r="C48" s="125">
        <v>14317718.556865413</v>
      </c>
      <c r="D48" s="125">
        <v>0</v>
      </c>
      <c r="E48" s="18">
        <v>15171211.793788822</v>
      </c>
      <c r="F48" s="18">
        <v>0</v>
      </c>
      <c r="G48" s="17">
        <f t="shared" si="5"/>
        <v>15171211.793788822</v>
      </c>
    </row>
    <row r="49" spans="1:7" ht="17.100000000000001" customHeight="1">
      <c r="A49" s="32" t="s">
        <v>32</v>
      </c>
      <c r="B49" s="126">
        <v>1277238498.3388782</v>
      </c>
      <c r="C49" s="125">
        <v>1215659683.4760396</v>
      </c>
      <c r="D49" s="125">
        <v>1629355.8667367655</v>
      </c>
      <c r="E49" s="18">
        <v>1363247227.1086762</v>
      </c>
      <c r="F49" s="18">
        <v>1181226.1218228536</v>
      </c>
      <c r="G49" s="17">
        <f t="shared" si="5"/>
        <v>1366057809.0972357</v>
      </c>
    </row>
    <row r="50" spans="1:7" ht="17.100000000000001" customHeight="1">
      <c r="A50" s="32" t="s">
        <v>49</v>
      </c>
      <c r="B50" s="126">
        <v>0</v>
      </c>
      <c r="C50" s="125">
        <v>82000.799999999988</v>
      </c>
      <c r="D50" s="125">
        <v>0</v>
      </c>
      <c r="E50" s="18">
        <v>0</v>
      </c>
      <c r="F50" s="18">
        <v>0</v>
      </c>
      <c r="G50" s="17">
        <f t="shared" si="5"/>
        <v>0</v>
      </c>
    </row>
    <row r="51" spans="1:7" ht="17.100000000000001" customHeight="1">
      <c r="A51" s="28" t="s">
        <v>66</v>
      </c>
      <c r="B51" s="126">
        <v>0</v>
      </c>
      <c r="C51" s="125">
        <v>0</v>
      </c>
      <c r="D51" s="125">
        <v>0</v>
      </c>
      <c r="E51" s="18">
        <v>0</v>
      </c>
      <c r="F51" s="18">
        <v>0</v>
      </c>
      <c r="G51" s="17">
        <f t="shared" si="5"/>
        <v>0</v>
      </c>
    </row>
    <row r="52" spans="1:7" ht="17.100000000000001" customHeight="1">
      <c r="A52" s="28" t="s">
        <v>67</v>
      </c>
      <c r="B52" s="126">
        <v>1900000</v>
      </c>
      <c r="C52" s="125">
        <v>0</v>
      </c>
      <c r="D52" s="125">
        <v>0</v>
      </c>
      <c r="E52" s="18">
        <v>0</v>
      </c>
      <c r="F52" s="18">
        <v>0</v>
      </c>
      <c r="G52" s="17">
        <f t="shared" si="5"/>
        <v>0</v>
      </c>
    </row>
    <row r="53" spans="1:7" ht="17.100000000000001" customHeight="1">
      <c r="A53" s="28" t="s">
        <v>68</v>
      </c>
      <c r="B53" s="126">
        <v>2654844.7312000003</v>
      </c>
      <c r="C53" s="125">
        <v>2654845</v>
      </c>
      <c r="D53" s="125">
        <v>0</v>
      </c>
      <c r="E53" s="18">
        <v>0</v>
      </c>
      <c r="F53" s="18">
        <v>0</v>
      </c>
      <c r="G53" s="17">
        <f t="shared" si="5"/>
        <v>0</v>
      </c>
    </row>
    <row r="54" spans="1:7" ht="17.100000000000001" customHeight="1" thickBot="1">
      <c r="A54" s="28" t="s">
        <v>69</v>
      </c>
      <c r="B54" s="126">
        <v>8441110</v>
      </c>
      <c r="C54" s="125">
        <v>200000</v>
      </c>
      <c r="D54" s="125">
        <v>0</v>
      </c>
      <c r="E54" s="35">
        <v>0</v>
      </c>
      <c r="F54" s="18">
        <v>0</v>
      </c>
      <c r="G54" s="17">
        <f t="shared" si="5"/>
        <v>0</v>
      </c>
    </row>
    <row r="55" spans="1:7" s="25" customFormat="1" ht="17.100000000000001" customHeight="1" thickTop="1">
      <c r="A55" s="37" t="s">
        <v>50</v>
      </c>
      <c r="B55" s="133">
        <f t="shared" ref="B55:G55" si="6">SUM(B40:B54)</f>
        <v>2461941332.2383366</v>
      </c>
      <c r="C55" s="132">
        <f t="shared" si="6"/>
        <v>2491646039.4595361</v>
      </c>
      <c r="D55" s="132">
        <f t="shared" si="6"/>
        <v>320992025.30770957</v>
      </c>
      <c r="E55" s="39">
        <f t="shared" si="6"/>
        <v>1718692233.5280125</v>
      </c>
      <c r="F55" s="44">
        <f t="shared" si="6"/>
        <v>614762638.16644502</v>
      </c>
      <c r="G55" s="55">
        <f t="shared" si="6"/>
        <v>2654446897.0021667</v>
      </c>
    </row>
    <row r="56" spans="1:7" ht="17.100000000000001" customHeight="1">
      <c r="A56" s="42" t="s">
        <v>51</v>
      </c>
      <c r="B56" s="131"/>
      <c r="C56" s="125"/>
      <c r="D56" s="125"/>
      <c r="E56" s="18"/>
      <c r="F56" s="18"/>
      <c r="G56" s="17"/>
    </row>
    <row r="57" spans="1:7" ht="17.100000000000001" customHeight="1">
      <c r="A57" s="32" t="s">
        <v>52</v>
      </c>
      <c r="B57" s="126"/>
      <c r="C57" s="125"/>
      <c r="D57" s="125"/>
      <c r="E57" s="18"/>
      <c r="F57" s="18"/>
      <c r="G57" s="17"/>
    </row>
    <row r="58" spans="1:7" ht="17.100000000000001" customHeight="1">
      <c r="A58" s="26" t="s">
        <v>53</v>
      </c>
      <c r="B58" s="126">
        <f>33038711.2+25227878</f>
        <v>58266589.200000003</v>
      </c>
      <c r="C58" s="125">
        <v>33101848.799999997</v>
      </c>
      <c r="D58" s="125">
        <v>4807558</v>
      </c>
      <c r="E58" s="18">
        <v>32569819</v>
      </c>
      <c r="F58" s="18">
        <v>0</v>
      </c>
      <c r="G58" s="17">
        <f>SUM(D58:F58)</f>
        <v>37377377</v>
      </c>
    </row>
    <row r="59" spans="1:7" ht="17.100000000000001" customHeight="1">
      <c r="A59" s="26" t="s">
        <v>54</v>
      </c>
      <c r="B59" s="126">
        <v>0</v>
      </c>
      <c r="C59" s="125">
        <v>0</v>
      </c>
      <c r="D59" s="125">
        <v>0</v>
      </c>
      <c r="E59" s="18">
        <v>0</v>
      </c>
      <c r="F59" s="18">
        <v>0</v>
      </c>
      <c r="G59" s="17">
        <f>SUM(D59:F59)</f>
        <v>0</v>
      </c>
    </row>
    <row r="60" spans="1:7" ht="17.100000000000001" customHeight="1">
      <c r="A60" s="124" t="s">
        <v>55</v>
      </c>
      <c r="B60" s="126">
        <v>0</v>
      </c>
      <c r="C60" s="125">
        <v>0</v>
      </c>
      <c r="D60" s="125">
        <v>0</v>
      </c>
      <c r="E60" s="49">
        <v>0</v>
      </c>
      <c r="F60" s="18">
        <v>0</v>
      </c>
      <c r="G60" s="17">
        <f>SUM(D60:F60)</f>
        <v>0</v>
      </c>
    </row>
    <row r="61" spans="1:7" ht="17.100000000000001" customHeight="1">
      <c r="A61" s="130" t="s">
        <v>56</v>
      </c>
      <c r="B61" s="129">
        <f t="shared" ref="B61:G61" si="7">SUM(B58:B60)</f>
        <v>58266589.200000003</v>
      </c>
      <c r="C61" s="128">
        <f t="shared" si="7"/>
        <v>33101848.799999997</v>
      </c>
      <c r="D61" s="128">
        <f t="shared" si="7"/>
        <v>4807558</v>
      </c>
      <c r="E61" s="49">
        <f t="shared" si="7"/>
        <v>32569819</v>
      </c>
      <c r="F61" s="127">
        <f t="shared" si="7"/>
        <v>0</v>
      </c>
      <c r="G61" s="46">
        <f t="shared" si="7"/>
        <v>37377377</v>
      </c>
    </row>
    <row r="62" spans="1:7" ht="17.100000000000001" customHeight="1">
      <c r="A62" s="32" t="s">
        <v>57</v>
      </c>
      <c r="B62" s="126"/>
      <c r="C62" s="125"/>
      <c r="D62" s="125"/>
      <c r="E62" s="18"/>
      <c r="F62" s="18"/>
      <c r="G62" s="17"/>
    </row>
    <row r="63" spans="1:7" ht="17.100000000000001" customHeight="1">
      <c r="A63" s="26" t="s">
        <v>58</v>
      </c>
      <c r="B63" s="126">
        <v>0</v>
      </c>
      <c r="C63" s="125">
        <v>0</v>
      </c>
      <c r="D63" s="125">
        <v>0</v>
      </c>
      <c r="E63" s="18">
        <v>0</v>
      </c>
      <c r="F63" s="18">
        <v>0</v>
      </c>
      <c r="G63" s="17">
        <f>SUM(D63:F63)</f>
        <v>0</v>
      </c>
    </row>
    <row r="64" spans="1:7" ht="17.100000000000001" customHeight="1">
      <c r="A64" s="124" t="s">
        <v>49</v>
      </c>
      <c r="B64" s="123">
        <v>6714286.7761876993</v>
      </c>
      <c r="C64" s="122">
        <v>56068698</v>
      </c>
      <c r="D64" s="122">
        <f>53823991.5+249637</f>
        <v>54073628.5</v>
      </c>
      <c r="E64" s="49">
        <v>-32860470</v>
      </c>
      <c r="F64" s="49">
        <v>0</v>
      </c>
      <c r="G64" s="17">
        <f>SUM(D64:F64)</f>
        <v>21213158.5</v>
      </c>
    </row>
    <row r="65" spans="1:7" ht="17.100000000000001" customHeight="1" thickBot="1">
      <c r="A65" s="121" t="s">
        <v>59</v>
      </c>
      <c r="B65" s="120">
        <f>B63+B64</f>
        <v>6714286.7761876993</v>
      </c>
      <c r="C65" s="119">
        <f>C63+C64</f>
        <v>56068698</v>
      </c>
      <c r="D65" s="34">
        <f>D63+D64</f>
        <v>54073628.5</v>
      </c>
      <c r="E65" s="35">
        <f>E63+E64</f>
        <v>-32860470</v>
      </c>
      <c r="F65" s="35">
        <f>F63+F64</f>
        <v>0</v>
      </c>
      <c r="G65" s="52">
        <f>SUM(G63:G64)</f>
        <v>21213158.5</v>
      </c>
    </row>
    <row r="66" spans="1:7" s="25" customFormat="1" ht="17.100000000000001" customHeight="1" thickTop="1">
      <c r="A66" s="118" t="s">
        <v>60</v>
      </c>
      <c r="B66" s="117">
        <f t="shared" ref="B66:G66" si="8">B55+B61+B65</f>
        <v>2526922208.2145243</v>
      </c>
      <c r="C66" s="116">
        <f t="shared" si="8"/>
        <v>2580816586.2595363</v>
      </c>
      <c r="D66" s="116">
        <f t="shared" si="8"/>
        <v>379873211.80770957</v>
      </c>
      <c r="E66" s="115">
        <f t="shared" si="8"/>
        <v>1718401582.5280125</v>
      </c>
      <c r="F66" s="39">
        <f t="shared" si="8"/>
        <v>614762638.16644502</v>
      </c>
      <c r="G66" s="55">
        <f t="shared" si="8"/>
        <v>2713037432.5021667</v>
      </c>
    </row>
    <row r="67" spans="1:7" ht="17.100000000000001" customHeight="1" thickBot="1">
      <c r="A67" s="114" t="s">
        <v>61</v>
      </c>
      <c r="B67" s="113">
        <f t="shared" ref="B67:G67" si="9">B36-B66</f>
        <v>0</v>
      </c>
      <c r="C67" s="112">
        <f t="shared" si="9"/>
        <v>0.21773195266723633</v>
      </c>
      <c r="D67" s="111">
        <f t="shared" si="9"/>
        <v>-0.15351557731628418</v>
      </c>
      <c r="E67" s="110">
        <f t="shared" si="9"/>
        <v>0</v>
      </c>
      <c r="F67" s="109">
        <f t="shared" si="9"/>
        <v>0.19179117679595947</v>
      </c>
      <c r="G67" s="108">
        <f t="shared" si="9"/>
        <v>3.8276195526123047E-2</v>
      </c>
    </row>
    <row r="68" spans="1:7">
      <c r="A68" s="354" t="s">
        <v>73</v>
      </c>
      <c r="B68" s="354"/>
      <c r="C68" s="354"/>
      <c r="D68" s="354"/>
      <c r="E68" s="354"/>
      <c r="F68" s="354"/>
      <c r="G68" s="354"/>
    </row>
    <row r="69" spans="1:7" ht="35.25" customHeight="1">
      <c r="A69" s="355" t="s">
        <v>83</v>
      </c>
      <c r="B69" s="355"/>
      <c r="C69" s="355"/>
      <c r="D69" s="355"/>
      <c r="E69" s="355"/>
      <c r="F69" s="355"/>
      <c r="G69" s="355"/>
    </row>
    <row r="70" spans="1:7" ht="93.75" customHeight="1">
      <c r="A70" s="353" t="s">
        <v>84</v>
      </c>
      <c r="B70" s="353"/>
      <c r="C70" s="353"/>
      <c r="D70" s="353"/>
      <c r="E70" s="353"/>
      <c r="F70" s="353"/>
      <c r="G70" s="353"/>
    </row>
    <row r="71" spans="1:7" ht="54.75" customHeight="1">
      <c r="A71" s="352"/>
      <c r="B71" s="352"/>
      <c r="C71" s="352"/>
      <c r="D71" s="352"/>
      <c r="E71" s="352"/>
      <c r="F71" s="352"/>
      <c r="G71" s="352"/>
    </row>
    <row r="72" spans="1:7" ht="15" customHeight="1">
      <c r="A72" s="326"/>
      <c r="B72" s="326"/>
      <c r="C72" s="326"/>
      <c r="D72" s="326"/>
      <c r="E72" s="326"/>
      <c r="F72" s="326"/>
      <c r="G72" s="326"/>
    </row>
    <row r="73" spans="1:7" s="105" customFormat="1" ht="13.5" customHeight="1">
      <c r="A73" s="107"/>
      <c r="B73" s="106"/>
      <c r="C73" s="106"/>
      <c r="D73" s="106"/>
      <c r="E73" s="106"/>
      <c r="F73" s="106"/>
      <c r="G73" s="106"/>
    </row>
    <row r="74" spans="1:7" ht="36.75" customHeight="1">
      <c r="A74" s="326"/>
      <c r="B74" s="326"/>
      <c r="C74" s="326"/>
      <c r="D74" s="326"/>
      <c r="E74" s="326"/>
      <c r="F74" s="326"/>
      <c r="G74" s="326"/>
    </row>
    <row r="75" spans="1:7">
      <c r="B75" s="104"/>
      <c r="C75" s="104"/>
      <c r="D75" s="104"/>
      <c r="E75" s="104"/>
      <c r="F75" s="104"/>
    </row>
    <row r="76" spans="1:7">
      <c r="A76" s="102"/>
      <c r="B76" s="102"/>
      <c r="C76" s="102"/>
      <c r="D76" s="103"/>
      <c r="E76" s="102"/>
      <c r="F76" s="102"/>
    </row>
  </sheetData>
  <mergeCells count="9">
    <mergeCell ref="A72:G72"/>
    <mergeCell ref="A74:G74"/>
    <mergeCell ref="A5:A6"/>
    <mergeCell ref="B5:C5"/>
    <mergeCell ref="D5:G5"/>
    <mergeCell ref="A71:G71"/>
    <mergeCell ref="A70:G70"/>
    <mergeCell ref="A68:G68"/>
    <mergeCell ref="A69:G69"/>
  </mergeCells>
  <printOptions horizontalCentered="1"/>
  <pageMargins left="0.7" right="0.7" top="0.5" bottom="0.5" header="0.3" footer="0.3"/>
  <pageSetup scale="69" fitToWidth="3" fitToHeight="3" orientation="landscape" r:id="rId1"/>
  <headerFooter alignWithMargins="0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 A Consolidated</vt:lpstr>
      <vt:lpstr>Table A (Boulder)</vt:lpstr>
      <vt:lpstr>Table A (UCCS)</vt:lpstr>
      <vt:lpstr>Table A (Denver)</vt:lpstr>
      <vt:lpstr>Table A (AMC) </vt:lpstr>
      <vt:lpstr>'Table A (AMC) '!Print_Area</vt:lpstr>
      <vt:lpstr>'Table A (Denver)'!Print_Area</vt:lpstr>
      <vt:lpstr>'Table A (UCCS)'!Print_Area</vt:lpstr>
      <vt:lpstr>'Table A Consolidated'!Print_Area</vt:lpstr>
      <vt:lpstr>'Table A (AMC) '!Print_Titles</vt:lpstr>
      <vt:lpstr>'Table A (Denver)'!Print_Titles</vt:lpstr>
      <vt:lpstr>'Table A (UCCS)'!Print_Titles</vt:lpstr>
      <vt:lpstr>'Table A Consolidated'!Print_Titles</vt:lpstr>
    </vt:vector>
  </TitlesOfParts>
  <Company>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Duran</dc:creator>
  <cp:lastModifiedBy>Ryan Allred</cp:lastModifiedBy>
  <cp:lastPrinted>2022-06-16T22:04:37Z</cp:lastPrinted>
  <dcterms:created xsi:type="dcterms:W3CDTF">2022-06-01T19:47:49Z</dcterms:created>
  <dcterms:modified xsi:type="dcterms:W3CDTF">2022-10-04T21:37:23Z</dcterms:modified>
</cp:coreProperties>
</file>