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5180" windowHeight="12435" tabRatio="599" activeTab="0"/>
  </bookViews>
  <sheets>
    <sheet name="Resident" sheetId="1" r:id="rId1"/>
    <sheet name="Resident Part-Time" sheetId="2" r:id="rId2"/>
    <sheet name="Non-Resident" sheetId="3" r:id="rId3"/>
    <sheet name="Non-Resident Part-Time" sheetId="4" r:id="rId4"/>
  </sheets>
  <definedNames>
    <definedName name="_xlnm.Print_Area" localSheetId="2">'Non-Resident'!$A$1:$Q$82</definedName>
    <definedName name="_xlnm.Print_Area" localSheetId="3">'Non-Resident Part-Time'!$A$1:$Q$82</definedName>
    <definedName name="_xlnm.Print_Area" localSheetId="0">'Resident'!$A$1:$Q$79</definedName>
    <definedName name="_xlnm.Print_Area" localSheetId="1">'Resident Part-Time'!$A$1:$Q$79</definedName>
    <definedName name="_xlnm.Print_Titles" localSheetId="2">'Non-Resident'!$1:$7</definedName>
    <definedName name="_xlnm.Print_Titles" localSheetId="3">'Non-Resident Part-Time'!$1:$7</definedName>
    <definedName name="_xlnm.Print_Titles" localSheetId="0">'Resident'!$1:$7</definedName>
    <definedName name="_xlnm.Print_Titles" localSheetId="1">'Resident Part-Time'!$1:$7</definedName>
  </definedNames>
  <calcPr fullCalcOnLoad="1"/>
</workbook>
</file>

<file path=xl/sharedStrings.xml><?xml version="1.0" encoding="utf-8"?>
<sst xmlns="http://schemas.openxmlformats.org/spreadsheetml/2006/main" count="562" uniqueCount="95">
  <si>
    <t>Change</t>
  </si>
  <si>
    <t>Undergraduate</t>
  </si>
  <si>
    <t>Business</t>
  </si>
  <si>
    <t>Engineering</t>
  </si>
  <si>
    <t>Graduate</t>
  </si>
  <si>
    <t>MBA Business</t>
  </si>
  <si>
    <t>Other Business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</si>
  <si>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</si>
  <si>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</si>
  <si>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</si>
  <si>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</si>
  <si>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</si>
  <si>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</si>
  <si>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</si>
  <si>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</si>
  <si>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>All Lower Division</t>
  </si>
  <si>
    <t>$</t>
  </si>
  <si>
    <t>%</t>
  </si>
  <si>
    <t>Total</t>
  </si>
  <si>
    <t>Tuition</t>
  </si>
  <si>
    <t>Cost of Attendance</t>
  </si>
  <si>
    <t>Level III-Bus/Eng/Geropsychology</t>
  </si>
  <si>
    <t>Level II-GSPA/Education</t>
  </si>
  <si>
    <t>Level I-All Other</t>
  </si>
  <si>
    <t>Level IV-Nursing</t>
  </si>
  <si>
    <t>Upper Division--Nursing</t>
  </si>
  <si>
    <t>Footnotes:</t>
  </si>
  <si>
    <t>e:  Other is a CCHE approved annual allowance for books and supplies, medical, transportation and personal expenses.</t>
  </si>
  <si>
    <t>Journalism / Music</t>
  </si>
  <si>
    <t>Arts &amp; Sciences / All Other</t>
  </si>
  <si>
    <t>Genetic Counseling</t>
  </si>
  <si>
    <t>Upper Division--LAS / Education</t>
  </si>
  <si>
    <t>Upper Division--Business / Engineering</t>
  </si>
  <si>
    <t>Business / Non-Degree</t>
  </si>
  <si>
    <t>Basic Clinical Science</t>
  </si>
  <si>
    <t>Undergraduate, Incoming</t>
  </si>
  <si>
    <t>All Upper Division</t>
  </si>
  <si>
    <t xml:space="preserve">Public Affairs </t>
  </si>
  <si>
    <t>Doctor of Nursing Practice</t>
  </si>
  <si>
    <t>MBA Business (1st Year)</t>
  </si>
  <si>
    <t>Lower Division</t>
  </si>
  <si>
    <t>Law JD</t>
  </si>
  <si>
    <t>Law JD (1st Year)</t>
  </si>
  <si>
    <t xml:space="preserve">Doctor of Medicine  </t>
  </si>
  <si>
    <t>Doctor of Dental Surgery</t>
  </si>
  <si>
    <t>Doctor of Physical Therapy</t>
  </si>
  <si>
    <t>Doctor of Pharmacy</t>
  </si>
  <si>
    <t>Denver Campus</t>
  </si>
  <si>
    <t>Anschutz Medical Campus</t>
  </si>
  <si>
    <t>Public Health, MPH</t>
  </si>
  <si>
    <t>Public Health, DrPH</t>
  </si>
  <si>
    <t xml:space="preserve">Nursing, MS </t>
  </si>
  <si>
    <t>Nursing, PhD</t>
  </si>
  <si>
    <t>Medicine Accountable Students</t>
  </si>
  <si>
    <t>Dentistry Accountable Students</t>
  </si>
  <si>
    <t>N/A</t>
  </si>
  <si>
    <t>Nursing, RN to BS</t>
  </si>
  <si>
    <t>Physician Assistant Studies</t>
  </si>
  <si>
    <r>
      <t>Pharmacy</t>
    </r>
    <r>
      <rPr>
        <vertAlign val="superscript"/>
        <sz val="10"/>
        <rFont val="Arial"/>
        <family val="2"/>
      </rPr>
      <t xml:space="preserve"> h</t>
    </r>
  </si>
  <si>
    <t>FY 2014</t>
  </si>
  <si>
    <t>d:  Room and Board for UCB and UCCS Undergraduate Tuition is the actual rate for a double on campus.  Room and Board for UCD Downtown campus is for Campus Village and an estimate for FY 14. For all other tuition rates, it is a CCHE approved annual allowance.</t>
  </si>
  <si>
    <t>Biostats/Epidemiology/Health Svcs, PhD</t>
  </si>
  <si>
    <t>Biostats/Epidemiology/Health Svcs, MS</t>
  </si>
  <si>
    <t>Modern Anatomy</t>
  </si>
  <si>
    <t>h: Graduate Pharmacy tuition rate is capped at 9 credit hours a term or 18 credit hours per academic year.</t>
  </si>
  <si>
    <t xml:space="preserve">FY 2014 Cost of Attendance Estimate </t>
  </si>
  <si>
    <t xml:space="preserve">* This cost of attendance estimate is reflective of the allowable costs set by CCHE and may differ from actual campus estimates and/or actual out of pocket costs for the student </t>
  </si>
  <si>
    <t xml:space="preserve">FY 2015 Cost of Attendance Estimate </t>
  </si>
  <si>
    <t>FY 2015</t>
  </si>
  <si>
    <t>International Undergraduate, Incoming</t>
  </si>
  <si>
    <t xml:space="preserve">MBA Business </t>
  </si>
  <si>
    <t xml:space="preserve">Law JD </t>
  </si>
  <si>
    <r>
      <t>Engineering</t>
    </r>
    <r>
      <rPr>
        <vertAlign val="superscript"/>
        <sz val="10"/>
        <rFont val="Arial"/>
        <family val="2"/>
      </rPr>
      <t xml:space="preserve"> </t>
    </r>
  </si>
  <si>
    <t>Engineering PHD</t>
  </si>
  <si>
    <t>Business-Tax Program</t>
  </si>
  <si>
    <t xml:space="preserve">Anesthesiology </t>
  </si>
  <si>
    <t>a:  FY 2014 Resident Undergraduate Tuition Rates represent the student share of tuition after the College Opportunity Fund stipend is applied for eligible authorizing students</t>
  </si>
  <si>
    <t>b:  FY 2015 Resident Undergraduate Tuition Rates represent the student share of tuition after the College Opportunity Fund stipend is applied for eligible authorizing students</t>
  </si>
  <si>
    <t xml:space="preserve">c: Fees presented do not include instructional program or course fees.  </t>
  </si>
  <si>
    <t>f:   Business Professional Masters tuition will be assessed by credit hour effective AY2015, and is $909/credit hour.  Prior, the tuition rate followed the Business Other, PhD above.</t>
  </si>
  <si>
    <t>g:   Academic year for several programs at AMC is considered above 30 credit hours; for consistency purposes COA was calculated on 30 credit hours</t>
  </si>
  <si>
    <t>f:   Business Professional Masters tuition will be assessed by credit hour effective AY2015, and is $1,273/credit hour.  Prior, the tuition rate followed the Business Other, PhD above.</t>
  </si>
  <si>
    <t>g:  Academic year for several programs at AMC is considered above 30 credit hours; for consistency purposes COA was calculated on 30 credit hours</t>
  </si>
  <si>
    <r>
      <t>Anschutz Medical Campus</t>
    </r>
    <r>
      <rPr>
        <b/>
        <vertAlign val="superscript"/>
        <sz val="12"/>
        <rFont val="Arial"/>
        <family val="2"/>
      </rPr>
      <t>g</t>
    </r>
  </si>
  <si>
    <t>Masters Law</t>
  </si>
  <si>
    <t>University of Colorado FY 2015 Cost of Attendance Estimate*</t>
  </si>
  <si>
    <t>Resident Full-Time (30 Credit Hours)</t>
  </si>
  <si>
    <r>
      <t>FY 2014</t>
    </r>
    <r>
      <rPr>
        <b/>
        <vertAlign val="superscript"/>
        <sz val="10"/>
        <color indexed="9"/>
        <rFont val="Arial"/>
        <family val="2"/>
      </rPr>
      <t>b</t>
    </r>
  </si>
  <si>
    <r>
      <t>FY 2015</t>
    </r>
    <r>
      <rPr>
        <b/>
        <vertAlign val="superscript"/>
        <sz val="10"/>
        <color indexed="9"/>
        <rFont val="Arial"/>
        <family val="2"/>
      </rPr>
      <t>b</t>
    </r>
  </si>
  <si>
    <r>
      <t xml:space="preserve">Fees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</si>
  <si>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d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</si>
  <si>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e</t>
    </r>
  </si>
  <si>
    <t>Resident Part-Time (12 Credit Hours)</t>
  </si>
  <si>
    <t>Non-Resident Full-Time (30 Credit Hours)</t>
  </si>
  <si>
    <t>Non-Resident Part-Time (12 Credit Hours)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</si>
</sst>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1">
    <font>
      <sz val="10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name val="Tahoma"/>
      <family val="2"/>
    </font>
    <font>
      <vertAlign val="superscript"/>
      <sz val="10"/>
      <name val="Arial"/>
      <family val="2"/>
    </font>
    <font>
      <sz val="10"/>
      <color indexed="8"/>
      <name val="Franklin Gothic Book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10"/>
      <color theme="1"/>
      <name val="Franklin Gothic Book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9" fontId="0" fillId="0" borderId="0" xfId="68" applyFont="1" applyAlignment="1">
      <alignment/>
    </xf>
    <xf numFmtId="44" fontId="0" fillId="0" borderId="0" xfId="46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6" fontId="0" fillId="0" borderId="0" xfId="64" applyNumberFormat="1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6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6" fontId="0" fillId="0" borderId="10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5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6" fontId="5" fillId="0" borderId="0" xfId="0" applyNumberFormat="1" applyFont="1" applyFill="1" applyBorder="1" applyAlignment="1">
      <alignment horizontal="center"/>
    </xf>
    <xf numFmtId="6" fontId="0" fillId="0" borderId="16" xfId="0" applyNumberFormat="1" applyFont="1" applyBorder="1" applyAlignment="1">
      <alignment/>
    </xf>
    <xf numFmtId="6" fontId="0" fillId="0" borderId="14" xfId="65" applyNumberFormat="1" applyFont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6" fontId="0" fillId="0" borderId="14" xfId="0" applyNumberFormat="1" applyFont="1" applyFill="1" applyBorder="1" applyAlignment="1">
      <alignment vertical="center"/>
    </xf>
    <xf numFmtId="6" fontId="0" fillId="0" borderId="17" xfId="0" applyNumberFormat="1" applyFont="1" applyBorder="1" applyAlignment="1">
      <alignment horizontal="right" vertical="center"/>
    </xf>
    <xf numFmtId="6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6" fontId="0" fillId="0" borderId="14" xfId="0" applyNumberFormat="1" applyFont="1" applyFill="1" applyBorder="1" applyAlignment="1">
      <alignment/>
    </xf>
    <xf numFmtId="6" fontId="0" fillId="0" borderId="11" xfId="0" applyNumberFormat="1" applyFont="1" applyFill="1" applyBorder="1" applyAlignment="1">
      <alignment/>
    </xf>
    <xf numFmtId="6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6" fontId="0" fillId="0" borderId="18" xfId="0" applyNumberFormat="1" applyFont="1" applyFill="1" applyBorder="1" applyAlignment="1">
      <alignment horizontal="right" vertical="center"/>
    </xf>
    <xf numFmtId="164" fontId="0" fillId="0" borderId="18" xfId="0" applyNumberFormat="1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6" fontId="0" fillId="0" borderId="15" xfId="0" applyNumberFormat="1" applyFont="1" applyFill="1" applyBorder="1" applyAlignment="1">
      <alignment vertical="center"/>
    </xf>
    <xf numFmtId="6" fontId="0" fillId="0" borderId="15" xfId="0" applyNumberFormat="1" applyFont="1" applyBorder="1" applyAlignment="1">
      <alignment vertical="center"/>
    </xf>
    <xf numFmtId="0" fontId="0" fillId="0" borderId="0" xfId="58" applyFont="1" applyFill="1" applyBorder="1">
      <alignment/>
      <protection/>
    </xf>
    <xf numFmtId="0" fontId="0" fillId="0" borderId="20" xfId="58" applyFont="1" applyFill="1" applyBorder="1">
      <alignment/>
      <protection/>
    </xf>
    <xf numFmtId="6" fontId="0" fillId="0" borderId="21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6" fontId="0" fillId="0" borderId="17" xfId="0" applyNumberFormat="1" applyFont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15" xfId="0" applyNumberFormat="1" applyFont="1" applyFill="1" applyBorder="1" applyAlignment="1">
      <alignment/>
    </xf>
    <xf numFmtId="6" fontId="0" fillId="0" borderId="15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6" fontId="0" fillId="0" borderId="19" xfId="0" applyNumberFormat="1" applyFont="1" applyFill="1" applyBorder="1" applyAlignment="1">
      <alignment/>
    </xf>
    <xf numFmtId="6" fontId="0" fillId="0" borderId="20" xfId="0" applyNumberFormat="1" applyFont="1" applyFill="1" applyBorder="1" applyAlignment="1">
      <alignment/>
    </xf>
    <xf numFmtId="6" fontId="0" fillId="0" borderId="2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8" xfId="0" applyNumberFormat="1" applyFont="1" applyBorder="1" applyAlignment="1">
      <alignment/>
    </xf>
    <xf numFmtId="6" fontId="0" fillId="0" borderId="17" xfId="0" applyNumberFormat="1" applyFont="1" applyFill="1" applyBorder="1" applyAlignment="1">
      <alignment horizontal="right" vertical="center"/>
    </xf>
    <xf numFmtId="6" fontId="0" fillId="0" borderId="2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6" fontId="0" fillId="0" borderId="21" xfId="0" applyNumberFormat="1" applyFont="1" applyFill="1" applyBorder="1" applyAlignment="1">
      <alignment horizontal="right" vertical="center"/>
    </xf>
    <xf numFmtId="6" fontId="0" fillId="0" borderId="10" xfId="0" applyNumberFormat="1" applyFont="1" applyFill="1" applyBorder="1" applyAlignment="1">
      <alignment/>
    </xf>
    <xf numFmtId="6" fontId="0" fillId="0" borderId="21" xfId="0" applyNumberFormat="1" applyFont="1" applyBorder="1" applyAlignment="1">
      <alignment horizontal="center"/>
    </xf>
    <xf numFmtId="6" fontId="0" fillId="0" borderId="16" xfId="0" applyNumberFormat="1" applyFont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6" fontId="0" fillId="0" borderId="17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6" fontId="0" fillId="0" borderId="16" xfId="0" applyNumberFormat="1" applyFont="1" applyFill="1" applyBorder="1" applyAlignment="1">
      <alignment horizontal="center"/>
    </xf>
    <xf numFmtId="6" fontId="0" fillId="0" borderId="23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6" fontId="0" fillId="0" borderId="23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6" fontId="0" fillId="0" borderId="17" xfId="0" applyNumberFormat="1" applyFont="1" applyBorder="1" applyAlignment="1">
      <alignment horizontal="center"/>
    </xf>
    <xf numFmtId="6" fontId="0" fillId="0" borderId="20" xfId="0" applyNumberFormat="1" applyFont="1" applyFill="1" applyBorder="1" applyAlignment="1">
      <alignment horizontal="center"/>
    </xf>
    <xf numFmtId="6" fontId="0" fillId="0" borderId="20" xfId="0" applyNumberFormat="1" applyFont="1" applyBorder="1" applyAlignment="1">
      <alignment horizontal="center"/>
    </xf>
    <xf numFmtId="6" fontId="0" fillId="0" borderId="14" xfId="0" applyNumberFormat="1" applyFont="1" applyFill="1" applyBorder="1" applyAlignment="1">
      <alignment/>
    </xf>
    <xf numFmtId="6" fontId="0" fillId="0" borderId="15" xfId="0" applyNumberFormat="1" applyFont="1" applyFill="1" applyBorder="1" applyAlignment="1">
      <alignment horizontal="center"/>
    </xf>
    <xf numFmtId="6" fontId="0" fillId="0" borderId="22" xfId="0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60" applyFont="1" applyFill="1" applyBorder="1">
      <alignment/>
      <protection/>
    </xf>
    <xf numFmtId="0" fontId="0" fillId="0" borderId="20" xfId="60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20" xfId="63" applyFont="1" applyFill="1" applyBorder="1">
      <alignment/>
      <protection/>
    </xf>
    <xf numFmtId="164" fontId="0" fillId="0" borderId="17" xfId="0" applyNumberFormat="1" applyFont="1" applyFill="1" applyBorder="1" applyAlignment="1">
      <alignment/>
    </xf>
    <xf numFmtId="6" fontId="0" fillId="0" borderId="15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6" fontId="0" fillId="0" borderId="16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6" fontId="0" fillId="0" borderId="11" xfId="0" applyNumberFormat="1" applyFont="1" applyBorder="1" applyAlignment="1">
      <alignment/>
    </xf>
    <xf numFmtId="6" fontId="0" fillId="0" borderId="12" xfId="0" applyNumberFormat="1" applyFont="1" applyBorder="1" applyAlignment="1">
      <alignment/>
    </xf>
    <xf numFmtId="6" fontId="0" fillId="0" borderId="18" xfId="0" applyNumberFormat="1" applyFont="1" applyBorder="1" applyAlignment="1">
      <alignment horizontal="right" vertical="center"/>
    </xf>
    <xf numFmtId="6" fontId="0" fillId="0" borderId="19" xfId="0" applyNumberFormat="1" applyFont="1" applyBorder="1" applyAlignment="1">
      <alignment horizontal="center"/>
    </xf>
    <xf numFmtId="6" fontId="0" fillId="0" borderId="10" xfId="0" applyNumberFormat="1" applyFont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64" fontId="0" fillId="33" borderId="26" xfId="0" applyNumberFormat="1" applyFont="1" applyFill="1" applyBorder="1" applyAlignment="1">
      <alignment/>
    </xf>
    <xf numFmtId="6" fontId="0" fillId="33" borderId="25" xfId="0" applyNumberFormat="1" applyFont="1" applyFill="1" applyBorder="1" applyAlignment="1">
      <alignment/>
    </xf>
    <xf numFmtId="6" fontId="0" fillId="33" borderId="24" xfId="0" applyNumberFormat="1" applyFont="1" applyFill="1" applyBorder="1" applyAlignment="1">
      <alignment/>
    </xf>
    <xf numFmtId="6" fontId="0" fillId="33" borderId="26" xfId="0" applyNumberFormat="1" applyFont="1" applyFill="1" applyBorder="1" applyAlignment="1">
      <alignment horizontal="right" vertical="center"/>
    </xf>
    <xf numFmtId="6" fontId="0" fillId="33" borderId="26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6" fontId="0" fillId="33" borderId="11" xfId="0" applyNumberFormat="1" applyFont="1" applyFill="1" applyBorder="1" applyAlignment="1">
      <alignment/>
    </xf>
    <xf numFmtId="6" fontId="0" fillId="33" borderId="12" xfId="0" applyNumberFormat="1" applyFont="1" applyFill="1" applyBorder="1" applyAlignment="1">
      <alignment/>
    </xf>
    <xf numFmtId="6" fontId="0" fillId="33" borderId="18" xfId="0" applyNumberFormat="1" applyFont="1" applyFill="1" applyBorder="1" applyAlignment="1">
      <alignment/>
    </xf>
    <xf numFmtId="0" fontId="0" fillId="33" borderId="24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0" xfId="0" applyNumberFormat="1" applyFont="1" applyFill="1" applyBorder="1" applyAlignment="1">
      <alignment horizontal="right" vertical="center"/>
    </xf>
    <xf numFmtId="6" fontId="0" fillId="0" borderId="19" xfId="0" applyNumberFormat="1" applyFill="1" applyBorder="1" applyAlignment="1">
      <alignment/>
    </xf>
    <xf numFmtId="6" fontId="0" fillId="0" borderId="10" xfId="0" applyNumberFormat="1" applyFont="1" applyFill="1" applyBorder="1" applyAlignment="1">
      <alignment horizontal="center"/>
    </xf>
    <xf numFmtId="6" fontId="0" fillId="0" borderId="17" xfId="0" applyNumberFormat="1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20" xfId="0" applyNumberFormat="1" applyFont="1" applyFill="1" applyBorder="1" applyAlignment="1">
      <alignment/>
    </xf>
    <xf numFmtId="6" fontId="0" fillId="0" borderId="15" xfId="0" applyNumberFormat="1" applyFont="1" applyFill="1" applyBorder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19" xfId="0" applyNumberFormat="1" applyFont="1" applyFill="1" applyBorder="1" applyAlignment="1">
      <alignment/>
    </xf>
    <xf numFmtId="6" fontId="0" fillId="0" borderId="14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6" fontId="0" fillId="0" borderId="20" xfId="0" applyNumberFormat="1" applyFont="1" applyFill="1" applyBorder="1" applyAlignment="1">
      <alignment horizontal="right" vertical="center"/>
    </xf>
    <xf numFmtId="6" fontId="0" fillId="0" borderId="23" xfId="0" applyNumberFormat="1" applyFont="1" applyFill="1" applyBorder="1" applyAlignment="1">
      <alignment horizontal="right" vertical="center"/>
    </xf>
    <xf numFmtId="164" fontId="0" fillId="0" borderId="17" xfId="0" applyNumberFormat="1" applyFont="1" applyFill="1" applyBorder="1" applyAlignment="1">
      <alignment horizontal="left" indent="2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6" fontId="0" fillId="0" borderId="12" xfId="0" applyNumberFormat="1" applyFont="1" applyBorder="1" applyAlignment="1">
      <alignment horizontal="right" vertical="center"/>
    </xf>
    <xf numFmtId="6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22" xfId="0" applyFont="1" applyBorder="1" applyAlignment="1">
      <alignment/>
    </xf>
    <xf numFmtId="6" fontId="0" fillId="0" borderId="18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6" fontId="3" fillId="0" borderId="0" xfId="58" applyNumberFormat="1" applyFont="1" applyFill="1" applyBorder="1">
      <alignment/>
      <protection/>
    </xf>
    <xf numFmtId="164" fontId="3" fillId="0" borderId="0" xfId="58" applyNumberFormat="1" applyFont="1" applyFill="1" applyBorder="1">
      <alignment/>
      <protection/>
    </xf>
    <xf numFmtId="6" fontId="0" fillId="0" borderId="0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0" fillId="0" borderId="0" xfId="58" applyFont="1">
      <alignment/>
      <protection/>
    </xf>
    <xf numFmtId="0" fontId="0" fillId="0" borderId="0" xfId="58" applyFont="1" applyFill="1" applyBorder="1">
      <alignment/>
      <protection/>
    </xf>
    <xf numFmtId="164" fontId="0" fillId="0" borderId="0" xfId="58" applyNumberFormat="1" applyFont="1" applyFill="1" applyBorder="1">
      <alignment/>
      <protection/>
    </xf>
    <xf numFmtId="164" fontId="0" fillId="0" borderId="0" xfId="58" applyNumberFormat="1" applyFont="1" applyFill="1">
      <alignment/>
      <protection/>
    </xf>
    <xf numFmtId="0" fontId="0" fillId="0" borderId="0" xfId="58" applyFont="1" applyFill="1" applyAlignment="1">
      <alignment horizontal="left"/>
      <protection/>
    </xf>
    <xf numFmtId="6" fontId="0" fillId="0" borderId="0" xfId="58" applyNumberFormat="1" applyFont="1" applyFill="1" applyBorder="1">
      <alignment/>
      <protection/>
    </xf>
    <xf numFmtId="6" fontId="0" fillId="0" borderId="15" xfId="58" applyNumberFormat="1" applyFont="1" applyFill="1" applyBorder="1">
      <alignment/>
      <protection/>
    </xf>
    <xf numFmtId="6" fontId="3" fillId="0" borderId="0" xfId="58" applyNumberFormat="1" applyFont="1" applyFill="1" applyBorder="1">
      <alignment/>
      <protection/>
    </xf>
    <xf numFmtId="164" fontId="3" fillId="0" borderId="0" xfId="58" applyNumberFormat="1" applyFont="1" applyFill="1" applyBorder="1">
      <alignment/>
      <protection/>
    </xf>
    <xf numFmtId="6" fontId="0" fillId="0" borderId="0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0" fillId="0" borderId="0" xfId="58" applyFont="1">
      <alignment/>
      <protection/>
    </xf>
    <xf numFmtId="0" fontId="0" fillId="0" borderId="0" xfId="58" applyFont="1" applyFill="1" applyBorder="1">
      <alignment/>
      <protection/>
    </xf>
    <xf numFmtId="164" fontId="0" fillId="0" borderId="0" xfId="58" applyNumberFormat="1" applyFont="1" applyFill="1" applyBorder="1">
      <alignment/>
      <protection/>
    </xf>
    <xf numFmtId="164" fontId="0" fillId="0" borderId="0" xfId="58" applyNumberFormat="1" applyFont="1" applyFill="1">
      <alignment/>
      <protection/>
    </xf>
    <xf numFmtId="0" fontId="0" fillId="0" borderId="0" xfId="58" applyFont="1" applyFill="1" applyAlignment="1">
      <alignment horizontal="left"/>
      <protection/>
    </xf>
    <xf numFmtId="6" fontId="0" fillId="0" borderId="0" xfId="58" applyNumberFormat="1" applyFont="1" applyFill="1" applyBorder="1">
      <alignment/>
      <protection/>
    </xf>
    <xf numFmtId="6" fontId="0" fillId="0" borderId="15" xfId="58" applyNumberFormat="1" applyFont="1" applyFill="1" applyBorder="1">
      <alignment/>
      <protection/>
    </xf>
    <xf numFmtId="6" fontId="3" fillId="0" borderId="0" xfId="58" applyNumberFormat="1" applyFont="1" applyFill="1" applyBorder="1">
      <alignment/>
      <protection/>
    </xf>
    <xf numFmtId="6" fontId="0" fillId="0" borderId="0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0" fillId="0" borderId="0" xfId="58" applyFont="1">
      <alignment/>
      <protection/>
    </xf>
    <xf numFmtId="0" fontId="0" fillId="0" borderId="0" xfId="58" applyFont="1" applyFill="1" applyBorder="1">
      <alignment/>
      <protection/>
    </xf>
    <xf numFmtId="164" fontId="0" fillId="0" borderId="0" xfId="58" applyNumberFormat="1" applyFont="1" applyFill="1" applyBorder="1">
      <alignment/>
      <protection/>
    </xf>
    <xf numFmtId="164" fontId="0" fillId="0" borderId="0" xfId="58" applyNumberFormat="1" applyFont="1" applyFill="1">
      <alignment/>
      <protection/>
    </xf>
    <xf numFmtId="6" fontId="0" fillId="0" borderId="15" xfId="58" applyNumberFormat="1" applyFont="1" applyFill="1" applyBorder="1">
      <alignment/>
      <protection/>
    </xf>
    <xf numFmtId="6" fontId="3" fillId="0" borderId="0" xfId="58" applyNumberFormat="1" applyFont="1" applyFill="1" applyBorder="1">
      <alignment/>
      <protection/>
    </xf>
    <xf numFmtId="6" fontId="0" fillId="0" borderId="0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0" fillId="0" borderId="0" xfId="58" applyFont="1">
      <alignment/>
      <protection/>
    </xf>
    <xf numFmtId="0" fontId="0" fillId="0" borderId="0" xfId="58" applyFont="1" applyFill="1" applyBorder="1">
      <alignment/>
      <protection/>
    </xf>
    <xf numFmtId="164" fontId="0" fillId="0" borderId="0" xfId="58" applyNumberFormat="1" applyFont="1" applyFill="1" applyBorder="1">
      <alignment/>
      <protection/>
    </xf>
    <xf numFmtId="164" fontId="0" fillId="0" borderId="0" xfId="58" applyNumberFormat="1" applyFont="1" applyFill="1">
      <alignment/>
      <protection/>
    </xf>
    <xf numFmtId="0" fontId="2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3" fillId="34" borderId="11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8" fillId="34" borderId="12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27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0" fontId="48" fillId="34" borderId="29" xfId="0" applyFont="1" applyFill="1" applyBorder="1" applyAlignment="1">
      <alignment horizontal="center"/>
    </xf>
    <xf numFmtId="164" fontId="48" fillId="34" borderId="2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Continuous"/>
    </xf>
    <xf numFmtId="0" fontId="48" fillId="34" borderId="20" xfId="0" applyFont="1" applyFill="1" applyBorder="1" applyAlignment="1">
      <alignment horizontal="centerContinuous"/>
    </xf>
    <xf numFmtId="0" fontId="48" fillId="34" borderId="30" xfId="0" applyFont="1" applyFill="1" applyBorder="1" applyAlignment="1">
      <alignment horizontal="center"/>
    </xf>
    <xf numFmtId="164" fontId="48" fillId="34" borderId="21" xfId="0" applyNumberFormat="1" applyFont="1" applyFill="1" applyBorder="1" applyAlignment="1">
      <alignment horizontal="center"/>
    </xf>
    <xf numFmtId="164" fontId="48" fillId="34" borderId="17" xfId="0" applyNumberFormat="1" applyFont="1" applyFill="1" applyBorder="1" applyAlignment="1">
      <alignment horizontal="center"/>
    </xf>
    <xf numFmtId="0" fontId="48" fillId="34" borderId="11" xfId="0" applyFont="1" applyFill="1" applyBorder="1" applyAlignment="1">
      <alignment/>
    </xf>
    <xf numFmtId="0" fontId="48" fillId="34" borderId="11" xfId="0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9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9" fillId="34" borderId="25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50" fillId="34" borderId="25" xfId="0" applyFont="1" applyFill="1" applyBorder="1" applyAlignment="1">
      <alignment/>
    </xf>
    <xf numFmtId="164" fontId="50" fillId="34" borderId="26" xfId="0" applyNumberFormat="1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4" fillId="0" borderId="0" xfId="0" applyFont="1" applyBorder="1" applyAlignment="1">
      <alignment/>
    </xf>
    <xf numFmtId="0" fontId="48" fillId="34" borderId="10" xfId="0" applyFont="1" applyFill="1" applyBorder="1" applyAlignment="1">
      <alignment horizontal="centerContinuous"/>
    </xf>
    <xf numFmtId="0" fontId="48" fillId="34" borderId="0" xfId="0" applyFont="1" applyFill="1" applyBorder="1" applyAlignment="1">
      <alignment horizontal="centerContinuous"/>
    </xf>
    <xf numFmtId="0" fontId="2" fillId="35" borderId="0" xfId="0" applyFont="1" applyFill="1" applyBorder="1" applyAlignment="1">
      <alignment/>
    </xf>
    <xf numFmtId="0" fontId="0" fillId="0" borderId="0" xfId="58" applyFont="1" applyFill="1" applyAlignment="1">
      <alignment horizontal="left" wrapText="1"/>
      <protection/>
    </xf>
    <xf numFmtId="0" fontId="48" fillId="34" borderId="11" xfId="0" applyFont="1" applyFill="1" applyBorder="1" applyAlignment="1">
      <alignment horizontal="center"/>
    </xf>
    <xf numFmtId="0" fontId="48" fillId="34" borderId="31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3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8" fillId="34" borderId="20" xfId="0" applyFont="1" applyFill="1" applyBorder="1" applyAlignment="1" quotePrefix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4" borderId="19" xfId="0" applyFont="1" applyFill="1" applyBorder="1" applyAlignment="1" quotePrefix="1">
      <alignment horizontal="center"/>
    </xf>
    <xf numFmtId="0" fontId="48" fillId="34" borderId="21" xfId="0" applyFont="1" applyFill="1" applyBorder="1" applyAlignment="1" quotePrefix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4 3" xfId="63"/>
    <cellStyle name="Normal_Regents Tuition Options, 4-option request 2007 05 09 for FA and bursar w rate change" xfId="64"/>
    <cellStyle name="Normal_Regents Tuition Options, 4-option request 2007 05 09 for FA and bursar w rate change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showGridLines="0" tabSelected="1" view="pageBreakPreview" zoomScaleNormal="75" zoomScaleSheetLayoutView="100" zoomScalePageLayoutView="0" workbookViewId="0" topLeftCell="A1">
      <selection activeCell="Q1" sqref="Q1"/>
    </sheetView>
  </sheetViews>
  <sheetFormatPr defaultColWidth="9.140625" defaultRowHeight="12.75"/>
  <cols>
    <col min="1" max="1" width="2.00390625" style="15" customWidth="1"/>
    <col min="2" max="2" width="2.28125" style="15" customWidth="1"/>
    <col min="3" max="3" width="37.00390625" style="15" customWidth="1"/>
    <col min="4" max="4" width="9.8515625" style="15" customWidth="1"/>
    <col min="5" max="5" width="1.421875" style="15" customWidth="1"/>
    <col min="6" max="6" width="9.8515625" style="15" customWidth="1"/>
    <col min="7" max="8" width="8.8515625" style="15" customWidth="1"/>
    <col min="9" max="9" width="10.00390625" style="21" customWidth="1"/>
    <col min="10" max="10" width="10.00390625" style="15" customWidth="1"/>
    <col min="11" max="11" width="1.421875" style="15" customWidth="1"/>
    <col min="12" max="13" width="10.00390625" style="15" customWidth="1"/>
    <col min="14" max="14" width="8.8515625" style="15" customWidth="1"/>
    <col min="15" max="15" width="8.8515625" style="21" customWidth="1"/>
    <col min="16" max="16" width="10.421875" style="15" customWidth="1"/>
    <col min="17" max="17" width="11.421875" style="21" bestFit="1" customWidth="1"/>
    <col min="18" max="20" width="8.8515625" style="14" customWidth="1"/>
    <col min="21" max="21" width="10.57421875" style="14" customWidth="1"/>
    <col min="22" max="25" width="8.8515625" style="14" customWidth="1"/>
    <col min="26" max="16384" width="9.140625" style="15" customWidth="1"/>
  </cols>
  <sheetData>
    <row r="1" spans="1:17" ht="18">
      <c r="A1" s="231" t="s">
        <v>85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7" ht="18">
      <c r="A2" s="231" t="s">
        <v>86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17" ht="18.75" thickBo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5" s="1" customFormat="1" ht="12.75">
      <c r="A4" s="233"/>
      <c r="B4" s="234"/>
      <c r="C4" s="235"/>
      <c r="D4" s="236"/>
      <c r="E4" s="236"/>
      <c r="F4" s="236"/>
      <c r="G4" s="236"/>
      <c r="H4" s="236"/>
      <c r="I4" s="237"/>
      <c r="J4" s="236"/>
      <c r="K4" s="236"/>
      <c r="L4" s="236"/>
      <c r="M4" s="236"/>
      <c r="N4" s="236"/>
      <c r="O4" s="237"/>
      <c r="P4" s="266" t="s">
        <v>0</v>
      </c>
      <c r="Q4" s="274"/>
      <c r="R4" s="2"/>
      <c r="S4" s="2"/>
      <c r="T4" s="2"/>
      <c r="U4" s="2"/>
      <c r="V4" s="2"/>
      <c r="W4" s="2"/>
      <c r="X4" s="2"/>
      <c r="Y4" s="2"/>
    </row>
    <row r="5" spans="1:25" s="1" customFormat="1" ht="13.5" thickBot="1">
      <c r="A5" s="238"/>
      <c r="B5" s="239"/>
      <c r="C5" s="240"/>
      <c r="D5" s="271" t="s">
        <v>65</v>
      </c>
      <c r="E5" s="272"/>
      <c r="F5" s="272"/>
      <c r="G5" s="272"/>
      <c r="H5" s="272"/>
      <c r="I5" s="273"/>
      <c r="J5" s="271" t="s">
        <v>67</v>
      </c>
      <c r="K5" s="272"/>
      <c r="L5" s="272"/>
      <c r="M5" s="272"/>
      <c r="N5" s="272"/>
      <c r="O5" s="273"/>
      <c r="P5" s="268" t="s">
        <v>20</v>
      </c>
      <c r="Q5" s="273"/>
      <c r="R5" s="2"/>
      <c r="S5" s="2"/>
      <c r="T5" s="2"/>
      <c r="U5" s="2"/>
      <c r="V5" s="2"/>
      <c r="W5" s="2"/>
      <c r="X5" s="2"/>
      <c r="Y5" s="2"/>
    </row>
    <row r="6" spans="1:25" s="1" customFormat="1" ht="14.25">
      <c r="A6" s="238"/>
      <c r="B6" s="239"/>
      <c r="C6" s="239"/>
      <c r="D6" s="266" t="s">
        <v>87</v>
      </c>
      <c r="E6" s="267"/>
      <c r="F6" s="241" t="s">
        <v>59</v>
      </c>
      <c r="G6" s="241" t="s">
        <v>59</v>
      </c>
      <c r="H6" s="241" t="s">
        <v>59</v>
      </c>
      <c r="I6" s="242" t="s">
        <v>59</v>
      </c>
      <c r="J6" s="266" t="s">
        <v>88</v>
      </c>
      <c r="K6" s="267"/>
      <c r="L6" s="241" t="s">
        <v>68</v>
      </c>
      <c r="M6" s="241" t="s">
        <v>68</v>
      </c>
      <c r="N6" s="241" t="s">
        <v>68</v>
      </c>
      <c r="O6" s="242" t="s">
        <v>68</v>
      </c>
      <c r="P6" s="243" t="s">
        <v>16</v>
      </c>
      <c r="Q6" s="244" t="s">
        <v>17</v>
      </c>
      <c r="R6" s="2"/>
      <c r="S6" s="2"/>
      <c r="T6" s="2"/>
      <c r="U6" s="2"/>
      <c r="V6" s="2"/>
      <c r="W6" s="2"/>
      <c r="X6" s="2"/>
      <c r="Y6" s="2"/>
    </row>
    <row r="7" spans="1:25" s="1" customFormat="1" ht="15" thickBot="1">
      <c r="A7" s="245"/>
      <c r="B7" s="246"/>
      <c r="C7" s="246"/>
      <c r="D7" s="268" t="s">
        <v>19</v>
      </c>
      <c r="E7" s="269"/>
      <c r="F7" s="247" t="s">
        <v>89</v>
      </c>
      <c r="G7" s="247" t="s">
        <v>90</v>
      </c>
      <c r="H7" s="247" t="s">
        <v>91</v>
      </c>
      <c r="I7" s="248" t="s">
        <v>18</v>
      </c>
      <c r="J7" s="268" t="s">
        <v>19</v>
      </c>
      <c r="K7" s="269"/>
      <c r="L7" s="247" t="s">
        <v>89</v>
      </c>
      <c r="M7" s="247" t="s">
        <v>90</v>
      </c>
      <c r="N7" s="247" t="s">
        <v>91</v>
      </c>
      <c r="O7" s="248" t="s">
        <v>18</v>
      </c>
      <c r="P7" s="243" t="s">
        <v>0</v>
      </c>
      <c r="Q7" s="249" t="s">
        <v>0</v>
      </c>
      <c r="R7" s="2"/>
      <c r="S7" s="2"/>
      <c r="T7" s="2"/>
      <c r="U7" s="2"/>
      <c r="V7" s="2"/>
      <c r="W7" s="2"/>
      <c r="X7" s="2"/>
      <c r="Y7" s="2"/>
    </row>
    <row r="8" spans="1:17" ht="16.5" thickBot="1">
      <c r="A8" s="158" t="s">
        <v>13</v>
      </c>
      <c r="B8" s="151"/>
      <c r="C8" s="151"/>
      <c r="D8" s="152"/>
      <c r="E8" s="151"/>
      <c r="F8" s="151"/>
      <c r="G8" s="151"/>
      <c r="H8" s="151"/>
      <c r="I8" s="153"/>
      <c r="J8" s="152"/>
      <c r="K8" s="151"/>
      <c r="L8" s="151"/>
      <c r="M8" s="151"/>
      <c r="N8" s="151"/>
      <c r="O8" s="153"/>
      <c r="P8" s="152"/>
      <c r="Q8" s="153"/>
    </row>
    <row r="9" spans="1:17" ht="12.75">
      <c r="A9" s="100"/>
      <c r="B9" s="101" t="s">
        <v>1</v>
      </c>
      <c r="C9" s="101"/>
      <c r="D9" s="144"/>
      <c r="E9" s="145"/>
      <c r="F9" s="145"/>
      <c r="G9" s="145"/>
      <c r="H9" s="145"/>
      <c r="I9" s="102"/>
      <c r="J9" s="144"/>
      <c r="K9" s="145"/>
      <c r="L9" s="145"/>
      <c r="M9" s="145"/>
      <c r="N9" s="145"/>
      <c r="O9" s="102"/>
      <c r="P9" s="144"/>
      <c r="Q9" s="102"/>
    </row>
    <row r="10" spans="1:21" ht="14.25">
      <c r="A10" s="100"/>
      <c r="B10" s="101"/>
      <c r="C10" s="101" t="s">
        <v>29</v>
      </c>
      <c r="D10" s="36">
        <f>4380*2</f>
        <v>8760</v>
      </c>
      <c r="E10" s="43"/>
      <c r="F10" s="170">
        <v>1587</v>
      </c>
      <c r="G10" s="170">
        <f>6129*2</f>
        <v>12258</v>
      </c>
      <c r="H10" s="87">
        <v>6642</v>
      </c>
      <c r="I10" s="103">
        <f>D10+F10+G10+H10</f>
        <v>29247</v>
      </c>
      <c r="J10" s="36">
        <v>9048</v>
      </c>
      <c r="K10" s="43"/>
      <c r="L10" s="224">
        <v>1741</v>
      </c>
      <c r="M10" s="170">
        <v>12810</v>
      </c>
      <c r="N10" s="87">
        <v>6786</v>
      </c>
      <c r="O10" s="103">
        <f>J10+L10+M10+N10</f>
        <v>30385</v>
      </c>
      <c r="P10" s="173">
        <f>O10-I10</f>
        <v>1138</v>
      </c>
      <c r="Q10" s="138">
        <f>P10/I10</f>
        <v>0.03890997367251342</v>
      </c>
      <c r="S10" s="22"/>
      <c r="T10" s="22"/>
      <c r="U10" s="23"/>
    </row>
    <row r="11" spans="1:22" ht="14.25">
      <c r="A11" s="100"/>
      <c r="B11" s="101"/>
      <c r="C11" s="101" t="s">
        <v>28</v>
      </c>
      <c r="D11" s="36">
        <f>4536*2</f>
        <v>9072</v>
      </c>
      <c r="E11" s="43"/>
      <c r="F11" s="170">
        <v>1587</v>
      </c>
      <c r="G11" s="170">
        <v>12258</v>
      </c>
      <c r="H11" s="87">
        <v>6642</v>
      </c>
      <c r="I11" s="103">
        <f>D11+F11+G11+H11</f>
        <v>29559</v>
      </c>
      <c r="J11" s="36">
        <v>9360</v>
      </c>
      <c r="K11" s="43"/>
      <c r="L11" s="224">
        <v>1741</v>
      </c>
      <c r="M11" s="170">
        <v>12810</v>
      </c>
      <c r="N11" s="87">
        <v>6786</v>
      </c>
      <c r="O11" s="103">
        <f>J11+L11+M11+N11</f>
        <v>30697</v>
      </c>
      <c r="P11" s="173">
        <f>O11-I11</f>
        <v>1138</v>
      </c>
      <c r="Q11" s="138">
        <f>P11/I11</f>
        <v>0.038499272641158364</v>
      </c>
      <c r="T11" s="22"/>
      <c r="U11" s="24"/>
      <c r="V11" s="25"/>
    </row>
    <row r="12" spans="1:18" ht="14.25">
      <c r="A12" s="100"/>
      <c r="B12" s="101"/>
      <c r="C12" s="101" t="s">
        <v>3</v>
      </c>
      <c r="D12" s="36">
        <f>5880*2</f>
        <v>11760</v>
      </c>
      <c r="E12" s="43"/>
      <c r="F12" s="170">
        <v>1587</v>
      </c>
      <c r="G12" s="170">
        <v>12258</v>
      </c>
      <c r="H12" s="87">
        <v>6642</v>
      </c>
      <c r="I12" s="103">
        <f>D12+F12+G12+H12</f>
        <v>32247</v>
      </c>
      <c r="J12" s="36">
        <v>12048</v>
      </c>
      <c r="K12" s="43"/>
      <c r="L12" s="224">
        <v>1741</v>
      </c>
      <c r="M12" s="170">
        <v>12810</v>
      </c>
      <c r="N12" s="87">
        <v>6786</v>
      </c>
      <c r="O12" s="103">
        <f>J12+L12+M12+N12</f>
        <v>33385</v>
      </c>
      <c r="P12" s="173">
        <f>O12-I12</f>
        <v>1138</v>
      </c>
      <c r="Q12" s="138">
        <f>P12/I12</f>
        <v>0.03529010450584551</v>
      </c>
      <c r="R12" s="22"/>
    </row>
    <row r="13" spans="1:18" ht="14.25">
      <c r="A13" s="34"/>
      <c r="B13" s="35"/>
      <c r="C13" s="35" t="s">
        <v>2</v>
      </c>
      <c r="D13" s="37">
        <f>6672*2</f>
        <v>13344</v>
      </c>
      <c r="E13" s="39"/>
      <c r="F13" s="172">
        <v>1587</v>
      </c>
      <c r="G13" s="170">
        <v>12258</v>
      </c>
      <c r="H13" s="91">
        <v>6642</v>
      </c>
      <c r="I13" s="104">
        <f>D13+F13+G13+H13</f>
        <v>33831</v>
      </c>
      <c r="J13" s="37">
        <v>13632</v>
      </c>
      <c r="K13" s="39"/>
      <c r="L13" s="222">
        <v>1741</v>
      </c>
      <c r="M13" s="170">
        <v>12810</v>
      </c>
      <c r="N13" s="91">
        <v>6786</v>
      </c>
      <c r="O13" s="104">
        <f>J13+L13+M13+N13</f>
        <v>34969</v>
      </c>
      <c r="P13" s="175">
        <f>O13-I13</f>
        <v>1138</v>
      </c>
      <c r="Q13" s="140">
        <f>P13/I13</f>
        <v>0.03363778782773196</v>
      </c>
      <c r="R13" s="16"/>
    </row>
    <row r="14" spans="1:17" ht="12.75">
      <c r="A14" s="100"/>
      <c r="B14" s="101" t="s">
        <v>4</v>
      </c>
      <c r="C14" s="101"/>
      <c r="D14" s="36"/>
      <c r="E14" s="170"/>
      <c r="F14" s="170"/>
      <c r="G14" s="142"/>
      <c r="H14" s="87"/>
      <c r="I14" s="103"/>
      <c r="J14" s="36"/>
      <c r="K14" s="170"/>
      <c r="L14" s="224"/>
      <c r="M14" s="142"/>
      <c r="N14" s="87"/>
      <c r="O14" s="103"/>
      <c r="P14" s="173"/>
      <c r="Q14" s="138"/>
    </row>
    <row r="15" spans="1:18" ht="12.75">
      <c r="A15" s="100"/>
      <c r="B15" s="101"/>
      <c r="C15" s="101" t="s">
        <v>29</v>
      </c>
      <c r="D15" s="36">
        <f>4959*2</f>
        <v>9918</v>
      </c>
      <c r="E15" s="170"/>
      <c r="F15" s="170">
        <v>1596</v>
      </c>
      <c r="G15" s="170">
        <v>8910</v>
      </c>
      <c r="H15" s="87">
        <v>6642</v>
      </c>
      <c r="I15" s="103">
        <f aca="true" t="shared" si="0" ref="I15:I21">D15+F15+G15+H15</f>
        <v>27066</v>
      </c>
      <c r="J15" s="36">
        <v>10224</v>
      </c>
      <c r="K15" s="170"/>
      <c r="L15" s="224">
        <v>1750</v>
      </c>
      <c r="M15" s="170">
        <v>9072</v>
      </c>
      <c r="N15" s="87">
        <v>6786</v>
      </c>
      <c r="O15" s="103">
        <f aca="true" t="shared" si="1" ref="O15:O21">J15+L15+M15+N15</f>
        <v>27832</v>
      </c>
      <c r="P15" s="173">
        <f aca="true" t="shared" si="2" ref="P15:P20">O15-I15</f>
        <v>766</v>
      </c>
      <c r="Q15" s="138">
        <f aca="true" t="shared" si="3" ref="Q15:Q20">P15/I15</f>
        <v>0.028301189684474988</v>
      </c>
      <c r="R15" s="22"/>
    </row>
    <row r="16" spans="1:17" ht="12.75">
      <c r="A16" s="100"/>
      <c r="B16" s="101"/>
      <c r="C16" s="101" t="s">
        <v>28</v>
      </c>
      <c r="D16" s="36">
        <f>4959*2</f>
        <v>9918</v>
      </c>
      <c r="E16" s="170"/>
      <c r="F16" s="170">
        <v>1596</v>
      </c>
      <c r="G16" s="170">
        <v>8910</v>
      </c>
      <c r="H16" s="87">
        <v>6642</v>
      </c>
      <c r="I16" s="103">
        <f t="shared" si="0"/>
        <v>27066</v>
      </c>
      <c r="J16" s="36">
        <v>10224</v>
      </c>
      <c r="K16" s="170"/>
      <c r="L16" s="224">
        <v>1750</v>
      </c>
      <c r="M16" s="170">
        <v>9072</v>
      </c>
      <c r="N16" s="87">
        <v>6786</v>
      </c>
      <c r="O16" s="103">
        <f t="shared" si="1"/>
        <v>27832</v>
      </c>
      <c r="P16" s="173">
        <f t="shared" si="2"/>
        <v>766</v>
      </c>
      <c r="Q16" s="138">
        <f t="shared" si="3"/>
        <v>0.028301189684474988</v>
      </c>
    </row>
    <row r="17" spans="1:17" ht="12.75">
      <c r="A17" s="100"/>
      <c r="B17" s="101"/>
      <c r="C17" s="101" t="s">
        <v>3</v>
      </c>
      <c r="D17" s="36">
        <f>6480*2</f>
        <v>12960</v>
      </c>
      <c r="E17" s="170"/>
      <c r="F17" s="170">
        <v>1596</v>
      </c>
      <c r="G17" s="170">
        <v>8910</v>
      </c>
      <c r="H17" s="87">
        <v>6642</v>
      </c>
      <c r="I17" s="103">
        <f t="shared" si="0"/>
        <v>30108</v>
      </c>
      <c r="J17" s="36">
        <v>13356</v>
      </c>
      <c r="K17" s="170"/>
      <c r="L17" s="224">
        <v>1750</v>
      </c>
      <c r="M17" s="170">
        <v>9072</v>
      </c>
      <c r="N17" s="87">
        <v>6786</v>
      </c>
      <c r="O17" s="103">
        <f t="shared" si="1"/>
        <v>30964</v>
      </c>
      <c r="P17" s="173">
        <f t="shared" si="2"/>
        <v>856</v>
      </c>
      <c r="Q17" s="138">
        <f t="shared" si="3"/>
        <v>0.028430981798857446</v>
      </c>
    </row>
    <row r="18" spans="1:17" ht="12.75">
      <c r="A18" s="100"/>
      <c r="B18" s="101"/>
      <c r="C18" s="101" t="s">
        <v>6</v>
      </c>
      <c r="D18" s="36">
        <f>7101*2</f>
        <v>14202</v>
      </c>
      <c r="E18" s="170"/>
      <c r="F18" s="170">
        <v>1596</v>
      </c>
      <c r="G18" s="170">
        <v>8910</v>
      </c>
      <c r="H18" s="87">
        <v>6642</v>
      </c>
      <c r="I18" s="103">
        <f t="shared" si="0"/>
        <v>31350</v>
      </c>
      <c r="J18" s="36">
        <v>14634</v>
      </c>
      <c r="K18" s="170"/>
      <c r="L18" s="224">
        <v>1750</v>
      </c>
      <c r="M18" s="170">
        <v>9072</v>
      </c>
      <c r="N18" s="87">
        <v>6786</v>
      </c>
      <c r="O18" s="103">
        <f t="shared" si="1"/>
        <v>32242</v>
      </c>
      <c r="P18" s="173">
        <f t="shared" si="2"/>
        <v>892</v>
      </c>
      <c r="Q18" s="138">
        <f t="shared" si="3"/>
        <v>0.028452950558213716</v>
      </c>
    </row>
    <row r="19" spans="1:17" ht="12.75">
      <c r="A19" s="100"/>
      <c r="B19" s="101"/>
      <c r="C19" s="101" t="s">
        <v>70</v>
      </c>
      <c r="D19" s="36">
        <f>8190*2</f>
        <v>16380</v>
      </c>
      <c r="E19" s="170"/>
      <c r="F19" s="170">
        <v>1596</v>
      </c>
      <c r="G19" s="170">
        <v>8910</v>
      </c>
      <c r="H19" s="87">
        <v>6642</v>
      </c>
      <c r="I19" s="103">
        <f t="shared" si="0"/>
        <v>33528</v>
      </c>
      <c r="J19" s="36">
        <v>16866</v>
      </c>
      <c r="K19" s="170"/>
      <c r="L19" s="224">
        <v>1750</v>
      </c>
      <c r="M19" s="170">
        <v>9072</v>
      </c>
      <c r="N19" s="87">
        <v>6786</v>
      </c>
      <c r="O19" s="103">
        <f t="shared" si="1"/>
        <v>34474</v>
      </c>
      <c r="P19" s="173">
        <f t="shared" si="2"/>
        <v>946</v>
      </c>
      <c r="Q19" s="138">
        <f t="shared" si="3"/>
        <v>0.02821522309711286</v>
      </c>
    </row>
    <row r="20" spans="1:17" ht="12.75">
      <c r="A20" s="100"/>
      <c r="B20" s="101"/>
      <c r="C20" s="101" t="s">
        <v>71</v>
      </c>
      <c r="D20" s="36">
        <f>14859*2</f>
        <v>29718</v>
      </c>
      <c r="E20" s="170"/>
      <c r="F20" s="170">
        <v>1596</v>
      </c>
      <c r="G20" s="170">
        <v>8910</v>
      </c>
      <c r="H20" s="87">
        <v>6642</v>
      </c>
      <c r="I20" s="103">
        <f t="shared" si="0"/>
        <v>46866</v>
      </c>
      <c r="J20" s="36">
        <v>29718</v>
      </c>
      <c r="K20" s="170"/>
      <c r="L20" s="224">
        <v>1750</v>
      </c>
      <c r="M20" s="170">
        <v>9072</v>
      </c>
      <c r="N20" s="87">
        <v>6786</v>
      </c>
      <c r="O20" s="103">
        <f t="shared" si="1"/>
        <v>47326</v>
      </c>
      <c r="P20" s="173">
        <f t="shared" si="2"/>
        <v>460</v>
      </c>
      <c r="Q20" s="138">
        <f t="shared" si="3"/>
        <v>0.009815217855161524</v>
      </c>
    </row>
    <row r="21" spans="1:17" ht="13.5" thickBot="1">
      <c r="A21" s="100"/>
      <c r="B21" s="101"/>
      <c r="C21" s="107" t="s">
        <v>84</v>
      </c>
      <c r="D21" s="36">
        <f>15201*2</f>
        <v>30402</v>
      </c>
      <c r="E21" s="170"/>
      <c r="F21" s="170">
        <v>1596</v>
      </c>
      <c r="G21" s="170">
        <v>8910</v>
      </c>
      <c r="H21" s="87">
        <v>6642</v>
      </c>
      <c r="I21" s="103">
        <f t="shared" si="0"/>
        <v>47550</v>
      </c>
      <c r="J21" s="36">
        <v>30402</v>
      </c>
      <c r="K21" s="170"/>
      <c r="L21" s="224">
        <v>1750</v>
      </c>
      <c r="M21" s="170">
        <v>9072</v>
      </c>
      <c r="N21" s="87">
        <v>6786</v>
      </c>
      <c r="O21" s="103">
        <f t="shared" si="1"/>
        <v>48010</v>
      </c>
      <c r="P21" s="173">
        <f>O21-I21</f>
        <v>460</v>
      </c>
      <c r="Q21" s="138">
        <f>P21/I21</f>
        <v>0.00967402733964248</v>
      </c>
    </row>
    <row r="22" spans="1:17" ht="16.5" thickBot="1">
      <c r="A22" s="158" t="s">
        <v>7</v>
      </c>
      <c r="B22" s="151"/>
      <c r="C22" s="151"/>
      <c r="D22" s="154"/>
      <c r="E22" s="155"/>
      <c r="F22" s="155"/>
      <c r="G22" s="151"/>
      <c r="H22" s="155"/>
      <c r="I22" s="156"/>
      <c r="J22" s="154"/>
      <c r="K22" s="155"/>
      <c r="L22" s="155"/>
      <c r="M22" s="151"/>
      <c r="N22" s="155"/>
      <c r="O22" s="156"/>
      <c r="P22" s="154"/>
      <c r="Q22" s="153"/>
    </row>
    <row r="23" spans="1:17" ht="12.75">
      <c r="A23" s="100"/>
      <c r="B23" s="101" t="s">
        <v>1</v>
      </c>
      <c r="C23" s="101"/>
      <c r="D23" s="52"/>
      <c r="E23" s="87"/>
      <c r="F23" s="87"/>
      <c r="G23" s="101"/>
      <c r="H23" s="147"/>
      <c r="I23" s="51"/>
      <c r="J23" s="52"/>
      <c r="K23" s="87"/>
      <c r="L23" s="87"/>
      <c r="M23" s="101"/>
      <c r="N23" s="147"/>
      <c r="O23" s="51"/>
      <c r="P23" s="52"/>
      <c r="Q23" s="108"/>
    </row>
    <row r="24" spans="1:19" ht="12.75">
      <c r="A24" s="100"/>
      <c r="B24" s="101"/>
      <c r="C24" s="101" t="s">
        <v>40</v>
      </c>
      <c r="D24" s="173">
        <v>7470</v>
      </c>
      <c r="E24" s="170"/>
      <c r="F24" s="170">
        <v>1189</v>
      </c>
      <c r="G24" s="170">
        <v>8800</v>
      </c>
      <c r="H24" s="87">
        <v>6642</v>
      </c>
      <c r="I24" s="103">
        <v>24101</v>
      </c>
      <c r="J24" s="170">
        <v>7710</v>
      </c>
      <c r="K24" s="170">
        <v>7710</v>
      </c>
      <c r="L24" s="170">
        <v>1433</v>
      </c>
      <c r="M24" s="170">
        <v>9150</v>
      </c>
      <c r="N24" s="87">
        <v>6786</v>
      </c>
      <c r="O24" s="103">
        <f>J24+L24+M24+N24</f>
        <v>25079</v>
      </c>
      <c r="P24" s="173">
        <f>O24-I24</f>
        <v>978</v>
      </c>
      <c r="Q24" s="138">
        <f>P24/I24</f>
        <v>0.04057922907763163</v>
      </c>
      <c r="S24" s="33"/>
    </row>
    <row r="25" spans="1:19" ht="14.25">
      <c r="A25" s="100"/>
      <c r="B25" s="101"/>
      <c r="C25" s="101" t="s">
        <v>31</v>
      </c>
      <c r="D25" s="173">
        <v>8040</v>
      </c>
      <c r="E25" s="43"/>
      <c r="F25" s="170">
        <v>1189</v>
      </c>
      <c r="G25" s="170">
        <v>8800</v>
      </c>
      <c r="H25" s="87">
        <v>6642</v>
      </c>
      <c r="I25" s="103">
        <v>24671</v>
      </c>
      <c r="J25" s="170">
        <v>8310</v>
      </c>
      <c r="K25" s="170">
        <v>8310</v>
      </c>
      <c r="L25" s="170">
        <v>1433</v>
      </c>
      <c r="M25" s="170">
        <v>9150</v>
      </c>
      <c r="N25" s="87">
        <v>6786</v>
      </c>
      <c r="O25" s="103">
        <f>J25+L25+M25+N25</f>
        <v>25679</v>
      </c>
      <c r="P25" s="173">
        <f>O25-I25</f>
        <v>1008</v>
      </c>
      <c r="Q25" s="138">
        <f>P25/I25</f>
        <v>0.040857687163065946</v>
      </c>
      <c r="S25" s="33"/>
    </row>
    <row r="26" spans="1:19" ht="14.25">
      <c r="A26" s="100"/>
      <c r="B26" s="101"/>
      <c r="C26" s="101" t="s">
        <v>32</v>
      </c>
      <c r="D26" s="173">
        <v>9180</v>
      </c>
      <c r="E26" s="43"/>
      <c r="F26" s="170">
        <v>1189</v>
      </c>
      <c r="G26" s="170">
        <v>8800</v>
      </c>
      <c r="H26" s="87">
        <v>6642</v>
      </c>
      <c r="I26" s="103">
        <v>25811</v>
      </c>
      <c r="J26" s="170">
        <v>9480</v>
      </c>
      <c r="K26" s="170">
        <v>9480</v>
      </c>
      <c r="L26" s="170">
        <v>1433</v>
      </c>
      <c r="M26" s="170">
        <v>9150</v>
      </c>
      <c r="N26" s="87">
        <v>6786</v>
      </c>
      <c r="O26" s="103">
        <f>J26+L26+M26+N26</f>
        <v>26849</v>
      </c>
      <c r="P26" s="173">
        <f>O26-I26</f>
        <v>1038</v>
      </c>
      <c r="Q26" s="138">
        <f>P26/I26</f>
        <v>0.04021541203362907</v>
      </c>
      <c r="S26" s="33"/>
    </row>
    <row r="27" spans="1:19" ht="14.25">
      <c r="A27" s="100"/>
      <c r="B27" s="101"/>
      <c r="C27" s="101" t="s">
        <v>25</v>
      </c>
      <c r="D27" s="175">
        <v>10710</v>
      </c>
      <c r="E27" s="39"/>
      <c r="F27" s="172">
        <v>1189</v>
      </c>
      <c r="G27" s="172">
        <v>8800</v>
      </c>
      <c r="H27" s="91">
        <v>6642</v>
      </c>
      <c r="I27" s="104">
        <v>27341</v>
      </c>
      <c r="J27" s="172">
        <v>11070</v>
      </c>
      <c r="K27" s="172">
        <v>11070</v>
      </c>
      <c r="L27" s="172">
        <v>1433</v>
      </c>
      <c r="M27" s="170">
        <v>9150</v>
      </c>
      <c r="N27" s="91">
        <v>6786</v>
      </c>
      <c r="O27" s="104">
        <f>J27+L27+M27+N27</f>
        <v>28439</v>
      </c>
      <c r="P27" s="175">
        <f>O27-I27</f>
        <v>1098</v>
      </c>
      <c r="Q27" s="140">
        <f>P27/I27</f>
        <v>0.04015946746644234</v>
      </c>
      <c r="S27" s="33"/>
    </row>
    <row r="28" spans="1:19" ht="12.75">
      <c r="A28" s="105"/>
      <c r="B28" s="106" t="s">
        <v>4</v>
      </c>
      <c r="C28" s="106"/>
      <c r="D28" s="173"/>
      <c r="E28" s="170"/>
      <c r="F28" s="170"/>
      <c r="G28" s="142"/>
      <c r="H28" s="87"/>
      <c r="I28" s="103"/>
      <c r="J28" s="173"/>
      <c r="K28" s="170"/>
      <c r="L28" s="170"/>
      <c r="M28" s="142"/>
      <c r="N28" s="87"/>
      <c r="O28" s="103"/>
      <c r="P28" s="173"/>
      <c r="Q28" s="138"/>
      <c r="S28" s="33"/>
    </row>
    <row r="29" spans="1:26" ht="12.75">
      <c r="A29" s="100"/>
      <c r="B29" s="101"/>
      <c r="C29" s="101" t="s">
        <v>23</v>
      </c>
      <c r="D29" s="173">
        <v>8960</v>
      </c>
      <c r="E29" s="170"/>
      <c r="F29" s="170">
        <v>1189</v>
      </c>
      <c r="G29" s="170">
        <v>8910</v>
      </c>
      <c r="H29" s="87">
        <v>6642</v>
      </c>
      <c r="I29" s="103">
        <v>25701</v>
      </c>
      <c r="J29" s="173">
        <v>9274</v>
      </c>
      <c r="K29" s="170"/>
      <c r="L29" s="170">
        <v>1433</v>
      </c>
      <c r="M29" s="170">
        <v>9072</v>
      </c>
      <c r="N29" s="87">
        <v>6786</v>
      </c>
      <c r="O29" s="103">
        <f>J29+L29+M29+N29</f>
        <v>26565</v>
      </c>
      <c r="P29" s="173">
        <f>O29-I29</f>
        <v>864</v>
      </c>
      <c r="Q29" s="138">
        <f>P29/I29</f>
        <v>0.033617368973969886</v>
      </c>
      <c r="S29" s="33"/>
      <c r="Z29" s="99"/>
    </row>
    <row r="30" spans="1:19" ht="12.75">
      <c r="A30" s="100"/>
      <c r="B30" s="101"/>
      <c r="C30" s="101" t="s">
        <v>22</v>
      </c>
      <c r="D30" s="173">
        <v>10314</v>
      </c>
      <c r="E30" s="170"/>
      <c r="F30" s="170">
        <v>1189</v>
      </c>
      <c r="G30" s="170">
        <v>8910</v>
      </c>
      <c r="H30" s="87">
        <v>6642</v>
      </c>
      <c r="I30" s="103">
        <v>27055</v>
      </c>
      <c r="J30" s="173">
        <v>10674</v>
      </c>
      <c r="K30" s="170"/>
      <c r="L30" s="170">
        <v>1433</v>
      </c>
      <c r="M30" s="170">
        <v>9072</v>
      </c>
      <c r="N30" s="87">
        <v>6786</v>
      </c>
      <c r="O30" s="103">
        <f>J30+L30+M30+N30</f>
        <v>27965</v>
      </c>
      <c r="P30" s="173">
        <f>O30-I30</f>
        <v>910</v>
      </c>
      <c r="Q30" s="138">
        <f>P30/I30</f>
        <v>0.03363518758085381</v>
      </c>
      <c r="S30" s="33"/>
    </row>
    <row r="31" spans="1:19" ht="12.75">
      <c r="A31" s="100"/>
      <c r="B31" s="101"/>
      <c r="C31" s="101" t="s">
        <v>21</v>
      </c>
      <c r="D31" s="173">
        <v>10314</v>
      </c>
      <c r="E31" s="170"/>
      <c r="F31" s="170">
        <v>1189</v>
      </c>
      <c r="G31" s="170">
        <v>8910</v>
      </c>
      <c r="H31" s="87">
        <v>6642</v>
      </c>
      <c r="I31" s="103">
        <v>27055</v>
      </c>
      <c r="J31" s="173">
        <v>10674</v>
      </c>
      <c r="K31" s="170"/>
      <c r="L31" s="170">
        <v>1433</v>
      </c>
      <c r="M31" s="170">
        <v>9072</v>
      </c>
      <c r="N31" s="87">
        <v>6786</v>
      </c>
      <c r="O31" s="103">
        <f>J31+L31+M31+N31</f>
        <v>27965</v>
      </c>
      <c r="P31" s="173">
        <f>O31-I31</f>
        <v>910</v>
      </c>
      <c r="Q31" s="138">
        <f>P31/I31</f>
        <v>0.03363518758085381</v>
      </c>
      <c r="S31" s="33"/>
    </row>
    <row r="32" spans="1:19" ht="13.5" thickBot="1">
      <c r="A32" s="100"/>
      <c r="B32" s="101"/>
      <c r="C32" s="101" t="s">
        <v>24</v>
      </c>
      <c r="D32" s="173">
        <v>14110</v>
      </c>
      <c r="E32" s="170"/>
      <c r="F32" s="170">
        <v>1189</v>
      </c>
      <c r="G32" s="170">
        <v>8910</v>
      </c>
      <c r="H32" s="87">
        <v>6642</v>
      </c>
      <c r="I32" s="103">
        <v>30851</v>
      </c>
      <c r="J32" s="173">
        <v>14604</v>
      </c>
      <c r="K32" s="170"/>
      <c r="L32" s="170">
        <v>1433</v>
      </c>
      <c r="M32" s="170">
        <v>9072</v>
      </c>
      <c r="N32" s="87">
        <v>6786</v>
      </c>
      <c r="O32" s="103">
        <f>J32+L32+M32+N32</f>
        <v>31895</v>
      </c>
      <c r="P32" s="173">
        <f>O32-I32</f>
        <v>1044</v>
      </c>
      <c r="Q32" s="138">
        <f>P32/I32</f>
        <v>0.03384007001393796</v>
      </c>
      <c r="S32" s="33"/>
    </row>
    <row r="33" spans="1:17" ht="16.5" thickBot="1">
      <c r="A33" s="158" t="s">
        <v>47</v>
      </c>
      <c r="B33" s="151"/>
      <c r="C33" s="151"/>
      <c r="D33" s="154"/>
      <c r="E33" s="155"/>
      <c r="F33" s="155"/>
      <c r="G33" s="155"/>
      <c r="H33" s="155"/>
      <c r="I33" s="156"/>
      <c r="J33" s="154"/>
      <c r="K33" s="155"/>
      <c r="L33" s="155"/>
      <c r="M33" s="155"/>
      <c r="N33" s="155"/>
      <c r="O33" s="156"/>
      <c r="P33" s="155"/>
      <c r="Q33" s="153"/>
    </row>
    <row r="34" spans="1:17" ht="12.75">
      <c r="A34" s="144"/>
      <c r="B34" s="145" t="s">
        <v>1</v>
      </c>
      <c r="C34" s="145"/>
      <c r="D34" s="52"/>
      <c r="E34" s="87"/>
      <c r="F34" s="87"/>
      <c r="G34" s="87"/>
      <c r="H34" s="147"/>
      <c r="I34" s="51"/>
      <c r="J34" s="173"/>
      <c r="K34" s="87"/>
      <c r="L34" s="87"/>
      <c r="M34" s="87"/>
      <c r="N34" s="147"/>
      <c r="O34" s="51"/>
      <c r="P34" s="147"/>
      <c r="Q34" s="102"/>
    </row>
    <row r="35" spans="1:18" ht="12.75">
      <c r="A35" s="100"/>
      <c r="B35" s="101"/>
      <c r="C35" s="101" t="s">
        <v>15</v>
      </c>
      <c r="D35" s="173">
        <v>8460</v>
      </c>
      <c r="E35" s="170"/>
      <c r="F35" s="170">
        <v>1015.66</v>
      </c>
      <c r="G35" s="89">
        <v>10590</v>
      </c>
      <c r="H35" s="87">
        <v>6642</v>
      </c>
      <c r="I35" s="103">
        <v>26707.66</v>
      </c>
      <c r="J35" s="173">
        <v>8760</v>
      </c>
      <c r="K35" s="170">
        <v>8760</v>
      </c>
      <c r="L35" s="170">
        <v>1077.62</v>
      </c>
      <c r="M35" s="89">
        <v>10940</v>
      </c>
      <c r="N35" s="87">
        <v>6786</v>
      </c>
      <c r="O35" s="103">
        <f aca="true" t="shared" si="4" ref="O35:O46">J35+L35+M35+N35</f>
        <v>27563.62</v>
      </c>
      <c r="P35" s="170">
        <f aca="true" t="shared" si="5" ref="P35:P46">O35-I35</f>
        <v>855.9599999999991</v>
      </c>
      <c r="Q35" s="138">
        <f aca="true" t="shared" si="6" ref="Q35:Q46">P35/I35</f>
        <v>0.032049232317619705</v>
      </c>
      <c r="R35" s="19"/>
    </row>
    <row r="36" spans="1:21" ht="12.75">
      <c r="A36" s="100"/>
      <c r="B36" s="101"/>
      <c r="C36" s="53" t="s">
        <v>36</v>
      </c>
      <c r="D36" s="45">
        <v>9097.5</v>
      </c>
      <c r="E36" s="172"/>
      <c r="F36" s="172">
        <v>1015.66</v>
      </c>
      <c r="G36" s="139">
        <v>10590</v>
      </c>
      <c r="H36" s="91">
        <v>6642</v>
      </c>
      <c r="I36" s="104">
        <v>27345.16</v>
      </c>
      <c r="J36" s="175">
        <v>9420</v>
      </c>
      <c r="K36" s="172">
        <v>9420</v>
      </c>
      <c r="L36" s="172">
        <v>1077.62</v>
      </c>
      <c r="M36" s="139">
        <v>10940</v>
      </c>
      <c r="N36" s="91">
        <v>6786</v>
      </c>
      <c r="O36" s="104">
        <f t="shared" si="4"/>
        <v>28223.62</v>
      </c>
      <c r="P36" s="172">
        <f t="shared" si="5"/>
        <v>878.4599999999991</v>
      </c>
      <c r="Q36" s="140">
        <f t="shared" si="6"/>
        <v>0.03212488060044261</v>
      </c>
      <c r="R36" s="19"/>
      <c r="U36" s="22"/>
    </row>
    <row r="37" spans="1:18" ht="12.75">
      <c r="A37" s="105"/>
      <c r="B37" s="106" t="s">
        <v>4</v>
      </c>
      <c r="C37" s="106"/>
      <c r="D37" s="173"/>
      <c r="E37" s="170"/>
      <c r="F37" s="170"/>
      <c r="G37" s="92"/>
      <c r="H37" s="87"/>
      <c r="I37" s="103"/>
      <c r="J37" s="173"/>
      <c r="K37" s="170"/>
      <c r="L37" s="170"/>
      <c r="M37" s="92"/>
      <c r="N37" s="87"/>
      <c r="O37" s="103"/>
      <c r="P37" s="170"/>
      <c r="Q37" s="138"/>
      <c r="R37" s="19"/>
    </row>
    <row r="38" spans="1:18" ht="12.75">
      <c r="A38" s="100"/>
      <c r="B38" s="101"/>
      <c r="C38" s="101" t="s">
        <v>9</v>
      </c>
      <c r="D38" s="173">
        <v>8020</v>
      </c>
      <c r="E38" s="170"/>
      <c r="F38" s="170">
        <v>1015.66</v>
      </c>
      <c r="G38" s="170">
        <v>8910</v>
      </c>
      <c r="H38" s="87">
        <v>6642</v>
      </c>
      <c r="I38" s="103">
        <v>24587.66</v>
      </c>
      <c r="J38" s="173">
        <v>9702</v>
      </c>
      <c r="K38" s="170"/>
      <c r="L38" s="170">
        <v>1077.62</v>
      </c>
      <c r="M38" s="170">
        <v>9072</v>
      </c>
      <c r="N38" s="87">
        <v>6786</v>
      </c>
      <c r="O38" s="103">
        <f t="shared" si="4"/>
        <v>26637.62</v>
      </c>
      <c r="P38" s="170">
        <f t="shared" si="5"/>
        <v>2049.959999999999</v>
      </c>
      <c r="Q38" s="138">
        <f t="shared" si="6"/>
        <v>0.08337352964861232</v>
      </c>
      <c r="R38" s="19"/>
    </row>
    <row r="39" spans="1:18" ht="12.75">
      <c r="A39" s="100"/>
      <c r="B39" s="101"/>
      <c r="C39" s="107" t="s">
        <v>10</v>
      </c>
      <c r="D39" s="173">
        <v>9678</v>
      </c>
      <c r="E39" s="170"/>
      <c r="F39" s="170">
        <v>1015.66</v>
      </c>
      <c r="G39" s="170">
        <v>8910</v>
      </c>
      <c r="H39" s="87">
        <v>6642</v>
      </c>
      <c r="I39" s="103">
        <v>26245.66</v>
      </c>
      <c r="J39" s="173">
        <v>11520</v>
      </c>
      <c r="K39" s="170"/>
      <c r="L39" s="170">
        <v>1077.62</v>
      </c>
      <c r="M39" s="170">
        <v>9072</v>
      </c>
      <c r="N39" s="87">
        <v>6786</v>
      </c>
      <c r="O39" s="103">
        <f t="shared" si="4"/>
        <v>28455.62</v>
      </c>
      <c r="P39" s="170">
        <f t="shared" si="5"/>
        <v>2209.959999999999</v>
      </c>
      <c r="Q39" s="138">
        <f t="shared" si="6"/>
        <v>0.08420287392277424</v>
      </c>
      <c r="R39" s="19"/>
    </row>
    <row r="40" spans="1:18" ht="14.25">
      <c r="A40" s="100"/>
      <c r="B40" s="101"/>
      <c r="C40" s="107" t="s">
        <v>72</v>
      </c>
      <c r="D40" s="173">
        <v>9784</v>
      </c>
      <c r="E40" s="170"/>
      <c r="F40" s="170">
        <v>1015.66</v>
      </c>
      <c r="G40" s="170">
        <v>8910</v>
      </c>
      <c r="H40" s="170">
        <v>6642</v>
      </c>
      <c r="I40" s="103">
        <v>26351.66</v>
      </c>
      <c r="J40" s="173">
        <v>11832</v>
      </c>
      <c r="K40" s="170"/>
      <c r="L40" s="170">
        <v>1077.62</v>
      </c>
      <c r="M40" s="170">
        <v>9072</v>
      </c>
      <c r="N40" s="87">
        <v>6786</v>
      </c>
      <c r="O40" s="103">
        <f t="shared" si="4"/>
        <v>28767.62</v>
      </c>
      <c r="P40" s="170">
        <f t="shared" si="5"/>
        <v>2415.959999999999</v>
      </c>
      <c r="Q40" s="138">
        <f t="shared" si="6"/>
        <v>0.09168151076630464</v>
      </c>
      <c r="R40" s="19"/>
    </row>
    <row r="41" spans="1:25" s="99" customFormat="1" ht="12.75">
      <c r="A41" s="100"/>
      <c r="B41" s="101"/>
      <c r="C41" s="107" t="s">
        <v>73</v>
      </c>
      <c r="D41" s="173">
        <v>8633</v>
      </c>
      <c r="E41" s="170"/>
      <c r="F41" s="170">
        <v>1015.66</v>
      </c>
      <c r="G41" s="170">
        <v>8910</v>
      </c>
      <c r="H41" s="170">
        <v>6642</v>
      </c>
      <c r="I41" s="103">
        <f>D41+F41+G41+H41</f>
        <v>25200.66</v>
      </c>
      <c r="J41" s="173">
        <v>8806</v>
      </c>
      <c r="K41" s="170"/>
      <c r="L41" s="170">
        <v>1077.62</v>
      </c>
      <c r="M41" s="170">
        <v>9072</v>
      </c>
      <c r="N41" s="170">
        <v>6786</v>
      </c>
      <c r="O41" s="103">
        <f>J41+L41+M41+N41</f>
        <v>25741.62</v>
      </c>
      <c r="P41" s="170">
        <f t="shared" si="5"/>
        <v>540.9599999999991</v>
      </c>
      <c r="Q41" s="138">
        <f>P41/I41</f>
        <v>0.021466104459168894</v>
      </c>
      <c r="R41" s="19"/>
      <c r="S41" s="98"/>
      <c r="T41" s="98"/>
      <c r="U41" s="98"/>
      <c r="V41" s="98"/>
      <c r="W41" s="98"/>
      <c r="X41" s="98"/>
      <c r="Y41" s="98"/>
    </row>
    <row r="42" spans="1:18" ht="12.75">
      <c r="A42" s="100"/>
      <c r="B42" s="101"/>
      <c r="C42" s="101" t="s">
        <v>37</v>
      </c>
      <c r="D42" s="173">
        <v>11174</v>
      </c>
      <c r="E42" s="170"/>
      <c r="F42" s="170">
        <v>1015.66</v>
      </c>
      <c r="G42" s="170">
        <v>8910</v>
      </c>
      <c r="H42" s="87">
        <v>6642</v>
      </c>
      <c r="I42" s="103">
        <v>27741.66</v>
      </c>
      <c r="J42" s="173">
        <v>13302</v>
      </c>
      <c r="K42" s="170"/>
      <c r="L42" s="170">
        <v>1077.62</v>
      </c>
      <c r="M42" s="170">
        <v>9072</v>
      </c>
      <c r="N42" s="87">
        <v>6786</v>
      </c>
      <c r="O42" s="103">
        <f t="shared" si="4"/>
        <v>30237.62</v>
      </c>
      <c r="P42" s="170">
        <f t="shared" si="5"/>
        <v>2495.959999999999</v>
      </c>
      <c r="Q42" s="138">
        <f t="shared" si="6"/>
        <v>0.08997154460115217</v>
      </c>
      <c r="R42" s="19"/>
    </row>
    <row r="43" spans="1:18" ht="12.75">
      <c r="A43" s="100"/>
      <c r="B43" s="101"/>
      <c r="C43" s="101" t="s">
        <v>11</v>
      </c>
      <c r="D43" s="173">
        <v>9784</v>
      </c>
      <c r="E43" s="170"/>
      <c r="F43" s="170">
        <v>1015.66</v>
      </c>
      <c r="G43" s="170">
        <v>8910</v>
      </c>
      <c r="H43" s="87">
        <v>6642</v>
      </c>
      <c r="I43" s="103">
        <v>26351.66</v>
      </c>
      <c r="J43" s="173">
        <v>11832</v>
      </c>
      <c r="K43" s="170"/>
      <c r="L43" s="170">
        <v>1077.62</v>
      </c>
      <c r="M43" s="170">
        <v>9072</v>
      </c>
      <c r="N43" s="87">
        <v>6786</v>
      </c>
      <c r="O43" s="103">
        <f t="shared" si="4"/>
        <v>28767.62</v>
      </c>
      <c r="P43" s="170">
        <f t="shared" si="5"/>
        <v>2415.959999999999</v>
      </c>
      <c r="Q43" s="138">
        <f t="shared" si="6"/>
        <v>0.09168151076630464</v>
      </c>
      <c r="R43" s="19"/>
    </row>
    <row r="44" spans="1:20" ht="12.75">
      <c r="A44" s="100"/>
      <c r="B44" s="101"/>
      <c r="C44" s="101" t="s">
        <v>8</v>
      </c>
      <c r="D44" s="173">
        <v>8260</v>
      </c>
      <c r="E44" s="170"/>
      <c r="F44" s="170">
        <v>1015.66</v>
      </c>
      <c r="G44" s="170">
        <v>8910</v>
      </c>
      <c r="H44" s="87">
        <v>6642</v>
      </c>
      <c r="I44" s="103">
        <v>24827.66</v>
      </c>
      <c r="J44" s="173">
        <v>9406</v>
      </c>
      <c r="K44" s="170"/>
      <c r="L44" s="170">
        <v>1077.62</v>
      </c>
      <c r="M44" s="170">
        <v>9072</v>
      </c>
      <c r="N44" s="87">
        <v>6786</v>
      </c>
      <c r="O44" s="103">
        <f t="shared" si="4"/>
        <v>26341.62</v>
      </c>
      <c r="P44" s="170">
        <f t="shared" si="5"/>
        <v>1513.9599999999991</v>
      </c>
      <c r="Q44" s="138">
        <f t="shared" si="6"/>
        <v>0.06097876320200934</v>
      </c>
      <c r="R44" s="19"/>
      <c r="S44" s="18"/>
      <c r="T44" s="18"/>
    </row>
    <row r="45" spans="1:25" s="99" customFormat="1" ht="12.75">
      <c r="A45" s="100"/>
      <c r="B45" s="101"/>
      <c r="C45" s="107" t="s">
        <v>74</v>
      </c>
      <c r="D45" s="167" t="s">
        <v>55</v>
      </c>
      <c r="E45" s="116"/>
      <c r="F45" s="116" t="s">
        <v>55</v>
      </c>
      <c r="G45" s="116" t="s">
        <v>55</v>
      </c>
      <c r="H45" s="116" t="s">
        <v>55</v>
      </c>
      <c r="I45" s="168" t="s">
        <v>55</v>
      </c>
      <c r="J45" s="173">
        <v>23550</v>
      </c>
      <c r="K45" s="170"/>
      <c r="L45" s="170">
        <v>1077.62</v>
      </c>
      <c r="M45" s="170">
        <v>9072</v>
      </c>
      <c r="N45" s="170">
        <v>6786</v>
      </c>
      <c r="O45" s="103">
        <f>J45+L45+M45+N45</f>
        <v>40485.619999999995</v>
      </c>
      <c r="P45" s="116" t="s">
        <v>55</v>
      </c>
      <c r="Q45" s="168" t="s">
        <v>55</v>
      </c>
      <c r="R45" s="19"/>
      <c r="S45" s="18"/>
      <c r="T45" s="18"/>
      <c r="U45" s="98"/>
      <c r="V45" s="98"/>
      <c r="W45" s="98"/>
      <c r="X45" s="98"/>
      <c r="Y45" s="98"/>
    </row>
    <row r="46" spans="1:18" ht="13.5" thickBot="1">
      <c r="A46" s="109"/>
      <c r="B46" s="110"/>
      <c r="C46" s="110" t="s">
        <v>33</v>
      </c>
      <c r="D46" s="174">
        <v>11212</v>
      </c>
      <c r="E46" s="171"/>
      <c r="F46" s="171">
        <v>1015.66</v>
      </c>
      <c r="G46" s="171">
        <v>8910</v>
      </c>
      <c r="H46" s="95">
        <v>6642</v>
      </c>
      <c r="I46" s="112">
        <v>27779.66</v>
      </c>
      <c r="J46" s="174">
        <v>13530</v>
      </c>
      <c r="K46" s="171"/>
      <c r="L46" s="171">
        <v>1077.62</v>
      </c>
      <c r="M46" s="171">
        <v>9072</v>
      </c>
      <c r="N46" s="95">
        <v>6786</v>
      </c>
      <c r="O46" s="112">
        <f t="shared" si="4"/>
        <v>30465.62</v>
      </c>
      <c r="P46" s="171">
        <f t="shared" si="5"/>
        <v>2685.959999999999</v>
      </c>
      <c r="Q46" s="141">
        <f t="shared" si="6"/>
        <v>0.09668800842054939</v>
      </c>
      <c r="R46" s="19"/>
    </row>
    <row r="47" spans="1:18" ht="19.5" thickBot="1">
      <c r="A47" s="176" t="s">
        <v>83</v>
      </c>
      <c r="B47" s="163"/>
      <c r="C47" s="178"/>
      <c r="D47" s="159"/>
      <c r="E47" s="160"/>
      <c r="F47" s="160"/>
      <c r="G47" s="160"/>
      <c r="H47" s="160"/>
      <c r="I47" s="161"/>
      <c r="J47" s="159"/>
      <c r="K47" s="160"/>
      <c r="L47" s="160"/>
      <c r="M47" s="160"/>
      <c r="N47" s="160"/>
      <c r="O47" s="161"/>
      <c r="P47" s="160"/>
      <c r="Q47" s="177"/>
      <c r="R47" s="19"/>
    </row>
    <row r="48" spans="1:25" s="13" customFormat="1" ht="12.75">
      <c r="A48" s="47"/>
      <c r="B48" s="63" t="s">
        <v>1</v>
      </c>
      <c r="C48" s="63"/>
      <c r="D48" s="47"/>
      <c r="E48" s="63"/>
      <c r="F48" s="63"/>
      <c r="G48" s="63"/>
      <c r="H48" s="62"/>
      <c r="I48" s="48"/>
      <c r="J48" s="47"/>
      <c r="K48" s="63"/>
      <c r="L48" s="63"/>
      <c r="M48" s="63"/>
      <c r="N48" s="62"/>
      <c r="O48" s="48"/>
      <c r="P48" s="63"/>
      <c r="Q48" s="65"/>
      <c r="R48" s="20"/>
      <c r="S48" s="12"/>
      <c r="T48" s="12"/>
      <c r="U48" s="12"/>
      <c r="V48" s="12"/>
      <c r="W48" s="12"/>
      <c r="X48" s="12"/>
      <c r="Y48" s="12"/>
    </row>
    <row r="49" spans="1:25" s="13" customFormat="1" ht="12.75">
      <c r="A49" s="68"/>
      <c r="B49" s="107"/>
      <c r="C49" s="107" t="s">
        <v>14</v>
      </c>
      <c r="D49" s="173">
        <v>10800</v>
      </c>
      <c r="E49" s="170"/>
      <c r="F49" s="170">
        <v>266.7</v>
      </c>
      <c r="G49" s="170">
        <v>8910</v>
      </c>
      <c r="H49" s="87">
        <v>6642</v>
      </c>
      <c r="I49" s="103">
        <v>26618.7</v>
      </c>
      <c r="J49" s="170">
        <v>11445</v>
      </c>
      <c r="K49" s="170">
        <v>11445</v>
      </c>
      <c r="L49" s="170">
        <v>276.7</v>
      </c>
      <c r="M49" s="170">
        <v>9072</v>
      </c>
      <c r="N49" s="87">
        <v>6786</v>
      </c>
      <c r="O49" s="103">
        <f>J49+L49+M49+N49</f>
        <v>27579.7</v>
      </c>
      <c r="P49" s="170">
        <f aca="true" t="shared" si="7" ref="P49:P69">O49-I49</f>
        <v>961</v>
      </c>
      <c r="Q49" s="138">
        <f aca="true" t="shared" si="8" ref="Q49:Q69">P49/I49</f>
        <v>0.036102439262623645</v>
      </c>
      <c r="R49" s="20"/>
      <c r="S49" s="12"/>
      <c r="T49" s="12"/>
      <c r="U49" s="12"/>
      <c r="V49" s="12"/>
      <c r="W49" s="12"/>
      <c r="X49" s="12"/>
      <c r="Y49" s="12"/>
    </row>
    <row r="50" spans="1:25" s="13" customFormat="1" ht="12.75">
      <c r="A50" s="49"/>
      <c r="B50" s="133"/>
      <c r="C50" s="133" t="s">
        <v>56</v>
      </c>
      <c r="D50" s="175">
        <v>10500</v>
      </c>
      <c r="E50" s="172"/>
      <c r="F50" s="172">
        <v>266.7</v>
      </c>
      <c r="G50" s="172">
        <v>8910</v>
      </c>
      <c r="H50" s="91">
        <v>6642</v>
      </c>
      <c r="I50" s="104">
        <v>26318.7</v>
      </c>
      <c r="J50" s="172">
        <v>11040</v>
      </c>
      <c r="K50" s="172">
        <v>11040</v>
      </c>
      <c r="L50" s="172">
        <v>276.7</v>
      </c>
      <c r="M50" s="172">
        <v>9072</v>
      </c>
      <c r="N50" s="91">
        <v>6786</v>
      </c>
      <c r="O50" s="104">
        <f>J50+L50+M50+N50</f>
        <v>27174.7</v>
      </c>
      <c r="P50" s="172">
        <f t="shared" si="7"/>
        <v>856</v>
      </c>
      <c r="Q50" s="140">
        <f t="shared" si="8"/>
        <v>0.032524402801050206</v>
      </c>
      <c r="R50" s="20"/>
      <c r="S50" s="12"/>
      <c r="T50" s="12"/>
      <c r="U50" s="12"/>
      <c r="V50" s="12"/>
      <c r="W50" s="12"/>
      <c r="X50" s="12"/>
      <c r="Y50" s="12"/>
    </row>
    <row r="51" spans="1:25" s="13" customFormat="1" ht="12.75">
      <c r="A51" s="68"/>
      <c r="B51" s="107" t="s">
        <v>4</v>
      </c>
      <c r="C51" s="107"/>
      <c r="D51" s="173"/>
      <c r="E51" s="170"/>
      <c r="F51" s="170"/>
      <c r="G51" s="170"/>
      <c r="H51" s="170"/>
      <c r="I51" s="103"/>
      <c r="J51" s="173"/>
      <c r="K51" s="170"/>
      <c r="L51" s="170"/>
      <c r="M51" s="170"/>
      <c r="N51" s="170"/>
      <c r="O51" s="103"/>
      <c r="P51" s="170"/>
      <c r="Q51" s="138"/>
      <c r="R51" s="20"/>
      <c r="S51" s="12"/>
      <c r="T51" s="12"/>
      <c r="U51" s="12"/>
      <c r="V51" s="12"/>
      <c r="W51" s="12"/>
      <c r="X51" s="12"/>
      <c r="Y51" s="12"/>
    </row>
    <row r="52" spans="1:25" s="13" customFormat="1" ht="12.75">
      <c r="A52" s="68"/>
      <c r="B52" s="107"/>
      <c r="C52" s="101" t="s">
        <v>57</v>
      </c>
      <c r="D52" s="173">
        <v>10710</v>
      </c>
      <c r="E52" s="170"/>
      <c r="F52" s="170">
        <v>266.7</v>
      </c>
      <c r="G52" s="170">
        <v>8910</v>
      </c>
      <c r="H52" s="87">
        <v>6642</v>
      </c>
      <c r="I52" s="103">
        <v>26528.7</v>
      </c>
      <c r="J52" s="173">
        <v>10710</v>
      </c>
      <c r="K52" s="170"/>
      <c r="L52" s="170">
        <v>276.7</v>
      </c>
      <c r="M52" s="170">
        <v>9072</v>
      </c>
      <c r="N52" s="87">
        <v>6786</v>
      </c>
      <c r="O52" s="103">
        <f aca="true" t="shared" si="9" ref="O52:O69">J52+L52+M52+N52</f>
        <v>26844.7</v>
      </c>
      <c r="P52" s="170">
        <f t="shared" si="7"/>
        <v>316</v>
      </c>
      <c r="Q52" s="138">
        <f t="shared" si="8"/>
        <v>0.011911627784248757</v>
      </c>
      <c r="R52" s="20"/>
      <c r="S52" s="12"/>
      <c r="T52" s="12"/>
      <c r="U52" s="12"/>
      <c r="V52" s="12"/>
      <c r="W52" s="12"/>
      <c r="X52" s="12"/>
      <c r="Y52" s="12"/>
    </row>
    <row r="53" spans="1:25" s="13" customFormat="1" ht="12.75">
      <c r="A53" s="68"/>
      <c r="B53" s="107"/>
      <c r="C53" s="107" t="s">
        <v>34</v>
      </c>
      <c r="D53" s="173">
        <v>5580</v>
      </c>
      <c r="E53" s="170"/>
      <c r="F53" s="170">
        <v>266.7</v>
      </c>
      <c r="G53" s="170">
        <v>8910</v>
      </c>
      <c r="H53" s="87">
        <v>6642</v>
      </c>
      <c r="I53" s="103">
        <v>21398.7</v>
      </c>
      <c r="J53" s="173">
        <v>7590</v>
      </c>
      <c r="K53" s="170"/>
      <c r="L53" s="170">
        <v>276.7</v>
      </c>
      <c r="M53" s="170">
        <v>9072</v>
      </c>
      <c r="N53" s="87">
        <v>6786</v>
      </c>
      <c r="O53" s="103">
        <f t="shared" si="9"/>
        <v>23724.7</v>
      </c>
      <c r="P53" s="170">
        <f t="shared" si="7"/>
        <v>2326</v>
      </c>
      <c r="Q53" s="138">
        <f t="shared" si="8"/>
        <v>0.10869819194623973</v>
      </c>
      <c r="R53" s="20"/>
      <c r="S53" s="12"/>
      <c r="T53" s="12"/>
      <c r="U53" s="12"/>
      <c r="V53" s="12"/>
      <c r="W53" s="12"/>
      <c r="X53" s="12"/>
      <c r="Y53" s="12"/>
    </row>
    <row r="54" spans="1:25" s="13" customFormat="1" ht="12.75">
      <c r="A54" s="68"/>
      <c r="B54" s="107"/>
      <c r="C54" s="101" t="s">
        <v>49</v>
      </c>
      <c r="D54" s="173">
        <v>20220</v>
      </c>
      <c r="E54" s="170"/>
      <c r="F54" s="170">
        <v>266.7</v>
      </c>
      <c r="G54" s="170">
        <v>8910</v>
      </c>
      <c r="H54" s="87">
        <v>6642</v>
      </c>
      <c r="I54" s="103">
        <v>36038.7</v>
      </c>
      <c r="J54" s="173">
        <v>21240</v>
      </c>
      <c r="K54" s="170"/>
      <c r="L54" s="170">
        <v>276.7</v>
      </c>
      <c r="M54" s="170">
        <v>9072</v>
      </c>
      <c r="N54" s="87">
        <v>6786</v>
      </c>
      <c r="O54" s="103">
        <f t="shared" si="9"/>
        <v>37374.7</v>
      </c>
      <c r="P54" s="170">
        <f t="shared" si="7"/>
        <v>1336</v>
      </c>
      <c r="Q54" s="138">
        <f t="shared" si="8"/>
        <v>0.037071259507140936</v>
      </c>
      <c r="R54" s="20"/>
      <c r="S54" s="12"/>
      <c r="T54" s="12"/>
      <c r="U54" s="12"/>
      <c r="V54" s="12"/>
      <c r="W54" s="12"/>
      <c r="X54" s="12"/>
      <c r="Y54" s="12"/>
    </row>
    <row r="55" spans="1:25" s="13" customFormat="1" ht="12.75">
      <c r="A55" s="68"/>
      <c r="B55" s="107"/>
      <c r="C55" s="101" t="s">
        <v>50</v>
      </c>
      <c r="D55" s="173">
        <v>12630</v>
      </c>
      <c r="E55" s="170"/>
      <c r="F55" s="170">
        <v>266.7</v>
      </c>
      <c r="G55" s="170">
        <v>8910</v>
      </c>
      <c r="H55" s="87">
        <v>6642</v>
      </c>
      <c r="I55" s="103">
        <v>28448.7</v>
      </c>
      <c r="J55" s="173">
        <v>13260</v>
      </c>
      <c r="K55" s="170"/>
      <c r="L55" s="170">
        <v>276.7</v>
      </c>
      <c r="M55" s="170">
        <v>9072</v>
      </c>
      <c r="N55" s="87">
        <v>6786</v>
      </c>
      <c r="O55" s="103">
        <f t="shared" si="9"/>
        <v>29394.7</v>
      </c>
      <c r="P55" s="170">
        <f t="shared" si="7"/>
        <v>946</v>
      </c>
      <c r="Q55" s="138">
        <f t="shared" si="8"/>
        <v>0.03325283756375511</v>
      </c>
      <c r="R55" s="20"/>
      <c r="S55" s="12"/>
      <c r="T55" s="12"/>
      <c r="U55" s="12"/>
      <c r="V55" s="12"/>
      <c r="W55" s="12"/>
      <c r="X55" s="12"/>
      <c r="Y55" s="12"/>
    </row>
    <row r="56" spans="1:25" s="13" customFormat="1" ht="12.75">
      <c r="A56" s="68"/>
      <c r="B56" s="107"/>
      <c r="C56" s="107" t="s">
        <v>61</v>
      </c>
      <c r="D56" s="173">
        <v>12630</v>
      </c>
      <c r="E56" s="170"/>
      <c r="F56" s="170">
        <v>266.7</v>
      </c>
      <c r="G56" s="170">
        <v>8910</v>
      </c>
      <c r="H56" s="87">
        <v>6642</v>
      </c>
      <c r="I56" s="103">
        <v>28448.7</v>
      </c>
      <c r="J56" s="173">
        <v>13260</v>
      </c>
      <c r="K56" s="170"/>
      <c r="L56" s="170">
        <v>276.7</v>
      </c>
      <c r="M56" s="170">
        <v>9072</v>
      </c>
      <c r="N56" s="87">
        <v>6786</v>
      </c>
      <c r="O56" s="103">
        <f t="shared" si="9"/>
        <v>29394.7</v>
      </c>
      <c r="P56" s="170">
        <f t="shared" si="7"/>
        <v>946</v>
      </c>
      <c r="Q56" s="138">
        <f t="shared" si="8"/>
        <v>0.03325283756375511</v>
      </c>
      <c r="R56" s="20"/>
      <c r="S56" s="12"/>
      <c r="T56" s="12"/>
      <c r="U56" s="12"/>
      <c r="V56" s="12"/>
      <c r="W56" s="12"/>
      <c r="X56" s="12"/>
      <c r="Y56" s="12"/>
    </row>
    <row r="57" spans="1:25" s="13" customFormat="1" ht="12.75">
      <c r="A57" s="68"/>
      <c r="B57" s="107"/>
      <c r="C57" s="107" t="s">
        <v>62</v>
      </c>
      <c r="D57" s="173">
        <v>13290</v>
      </c>
      <c r="E57" s="170"/>
      <c r="F57" s="170">
        <v>266.7</v>
      </c>
      <c r="G57" s="170">
        <v>8910</v>
      </c>
      <c r="H57" s="87">
        <v>6642</v>
      </c>
      <c r="I57" s="103">
        <v>29108.7</v>
      </c>
      <c r="J57" s="173">
        <v>14490</v>
      </c>
      <c r="K57" s="170"/>
      <c r="L57" s="170">
        <v>276.7</v>
      </c>
      <c r="M57" s="170">
        <v>9072</v>
      </c>
      <c r="N57" s="87">
        <v>6786</v>
      </c>
      <c r="O57" s="103">
        <f t="shared" si="9"/>
        <v>30624.7</v>
      </c>
      <c r="P57" s="170">
        <f t="shared" si="7"/>
        <v>1516</v>
      </c>
      <c r="Q57" s="138">
        <f t="shared" si="8"/>
        <v>0.05208064942783429</v>
      </c>
      <c r="R57" s="20"/>
      <c r="S57" s="12"/>
      <c r="T57" s="12"/>
      <c r="U57" s="12"/>
      <c r="V57" s="12"/>
      <c r="W57" s="12"/>
      <c r="X57" s="12"/>
      <c r="Y57" s="12"/>
    </row>
    <row r="58" spans="1:25" s="13" customFormat="1" ht="12.75">
      <c r="A58" s="68"/>
      <c r="B58" s="107"/>
      <c r="C58" s="101" t="s">
        <v>30</v>
      </c>
      <c r="D58" s="173">
        <v>16695</v>
      </c>
      <c r="E58" s="170"/>
      <c r="F58" s="170">
        <v>266.7</v>
      </c>
      <c r="G58" s="170">
        <v>8910</v>
      </c>
      <c r="H58" s="87">
        <v>6642</v>
      </c>
      <c r="I58" s="103">
        <v>32513.7</v>
      </c>
      <c r="J58" s="173">
        <v>16695</v>
      </c>
      <c r="K58" s="170"/>
      <c r="L58" s="170">
        <v>276.7</v>
      </c>
      <c r="M58" s="170">
        <v>9072</v>
      </c>
      <c r="N58" s="87">
        <v>6786</v>
      </c>
      <c r="O58" s="103">
        <f t="shared" si="9"/>
        <v>32829.7</v>
      </c>
      <c r="P58" s="170">
        <f t="shared" si="7"/>
        <v>315.99999999999636</v>
      </c>
      <c r="Q58" s="138">
        <f t="shared" si="8"/>
        <v>0.009718979999200225</v>
      </c>
      <c r="R58" s="20"/>
      <c r="S58" s="12"/>
      <c r="T58" s="12"/>
      <c r="U58" s="12"/>
      <c r="V58" s="12"/>
      <c r="W58" s="12"/>
      <c r="X58" s="12"/>
      <c r="Y58" s="12"/>
    </row>
    <row r="59" spans="1:25" s="13" customFormat="1" ht="14.25" customHeight="1">
      <c r="A59" s="68"/>
      <c r="B59" s="107"/>
      <c r="C59" s="101" t="s">
        <v>63</v>
      </c>
      <c r="D59" s="173">
        <v>18900</v>
      </c>
      <c r="E59" s="170"/>
      <c r="F59" s="170">
        <v>266.7</v>
      </c>
      <c r="G59" s="170">
        <v>8910</v>
      </c>
      <c r="H59" s="87">
        <v>6642</v>
      </c>
      <c r="I59" s="103">
        <v>34718.7</v>
      </c>
      <c r="J59" s="173">
        <v>19650</v>
      </c>
      <c r="K59" s="170"/>
      <c r="L59" s="170">
        <v>276.7</v>
      </c>
      <c r="M59" s="170">
        <v>9072</v>
      </c>
      <c r="N59" s="87">
        <v>6786</v>
      </c>
      <c r="O59" s="103">
        <f t="shared" si="9"/>
        <v>35784.7</v>
      </c>
      <c r="P59" s="170">
        <f t="shared" si="7"/>
        <v>1066</v>
      </c>
      <c r="Q59" s="138">
        <f t="shared" si="8"/>
        <v>0.030703914605097544</v>
      </c>
      <c r="R59" s="20"/>
      <c r="S59" s="12"/>
      <c r="T59" s="12"/>
      <c r="U59" s="12"/>
      <c r="V59" s="12"/>
      <c r="W59" s="12"/>
      <c r="X59" s="12"/>
      <c r="Y59" s="12"/>
    </row>
    <row r="60" spans="1:25" s="41" customFormat="1" ht="12.75">
      <c r="A60" s="68"/>
      <c r="B60" s="107"/>
      <c r="C60" s="101" t="s">
        <v>75</v>
      </c>
      <c r="D60" s="173">
        <v>14100</v>
      </c>
      <c r="E60" s="170"/>
      <c r="F60" s="170">
        <v>266.7</v>
      </c>
      <c r="G60" s="170">
        <v>8910</v>
      </c>
      <c r="H60" s="87">
        <v>6642</v>
      </c>
      <c r="I60" s="103">
        <v>29918.7</v>
      </c>
      <c r="J60" s="173">
        <v>14100</v>
      </c>
      <c r="K60" s="170"/>
      <c r="L60" s="170">
        <v>276.7</v>
      </c>
      <c r="M60" s="170">
        <v>9072</v>
      </c>
      <c r="N60" s="87">
        <v>6786</v>
      </c>
      <c r="O60" s="103">
        <f t="shared" si="9"/>
        <v>30234.7</v>
      </c>
      <c r="P60" s="170">
        <f t="shared" si="7"/>
        <v>316</v>
      </c>
      <c r="Q60" s="138">
        <f t="shared" si="8"/>
        <v>0.01056195623472945</v>
      </c>
      <c r="R60" s="42"/>
      <c r="S60" s="40"/>
      <c r="T60" s="40"/>
      <c r="U60" s="40"/>
      <c r="V60" s="40"/>
      <c r="W60" s="40"/>
      <c r="X60" s="40"/>
      <c r="Y60" s="40"/>
    </row>
    <row r="61" spans="1:25" s="13" customFormat="1" ht="12.75">
      <c r="A61" s="68"/>
      <c r="B61" s="107"/>
      <c r="C61" s="107" t="s">
        <v>51</v>
      </c>
      <c r="D61" s="173">
        <v>15600</v>
      </c>
      <c r="E61" s="170"/>
      <c r="F61" s="170">
        <v>266.7</v>
      </c>
      <c r="G61" s="170">
        <v>8910</v>
      </c>
      <c r="H61" s="87">
        <v>6642</v>
      </c>
      <c r="I61" s="103">
        <v>31418.7</v>
      </c>
      <c r="J61" s="173">
        <v>16800</v>
      </c>
      <c r="K61" s="170"/>
      <c r="L61" s="170">
        <v>276.7</v>
      </c>
      <c r="M61" s="170">
        <v>9072</v>
      </c>
      <c r="N61" s="87">
        <v>6786</v>
      </c>
      <c r="O61" s="103">
        <f t="shared" si="9"/>
        <v>32934.7</v>
      </c>
      <c r="P61" s="170">
        <f t="shared" si="7"/>
        <v>1515.9999999999964</v>
      </c>
      <c r="Q61" s="138">
        <f t="shared" si="8"/>
        <v>0.0482515189998312</v>
      </c>
      <c r="R61" s="20"/>
      <c r="S61" s="12"/>
      <c r="T61" s="12"/>
      <c r="U61" s="12"/>
      <c r="V61" s="12"/>
      <c r="W61" s="12"/>
      <c r="X61" s="12"/>
      <c r="Y61" s="12"/>
    </row>
    <row r="62" spans="1:25" s="13" customFormat="1" ht="12.75">
      <c r="A62" s="68"/>
      <c r="B62" s="107"/>
      <c r="C62" s="107" t="s">
        <v>52</v>
      </c>
      <c r="D62" s="173">
        <v>15000</v>
      </c>
      <c r="E62" s="170"/>
      <c r="F62" s="170">
        <v>266.7</v>
      </c>
      <c r="G62" s="170">
        <v>8910</v>
      </c>
      <c r="H62" s="87">
        <v>6642</v>
      </c>
      <c r="I62" s="103">
        <v>30818.7</v>
      </c>
      <c r="J62" s="173">
        <v>15750</v>
      </c>
      <c r="K62" s="170"/>
      <c r="L62" s="170">
        <v>276.7</v>
      </c>
      <c r="M62" s="170">
        <v>9072</v>
      </c>
      <c r="N62" s="87">
        <v>6786</v>
      </c>
      <c r="O62" s="103">
        <f t="shared" si="9"/>
        <v>31884.7</v>
      </c>
      <c r="P62" s="170">
        <f t="shared" si="7"/>
        <v>1066</v>
      </c>
      <c r="Q62" s="138">
        <f t="shared" si="8"/>
        <v>0.03458938890997998</v>
      </c>
      <c r="R62" s="20"/>
      <c r="S62" s="12"/>
      <c r="T62" s="12"/>
      <c r="U62" s="12"/>
      <c r="V62" s="12"/>
      <c r="W62" s="12"/>
      <c r="X62" s="12"/>
      <c r="Y62" s="12"/>
    </row>
    <row r="63" spans="1:25" s="13" customFormat="1" ht="14.25">
      <c r="A63" s="68"/>
      <c r="B63" s="107"/>
      <c r="C63" s="107" t="s">
        <v>58</v>
      </c>
      <c r="D63" s="50">
        <v>2628</v>
      </c>
      <c r="E63" s="73"/>
      <c r="F63" s="73">
        <v>266.7</v>
      </c>
      <c r="G63" s="73">
        <v>8910</v>
      </c>
      <c r="H63" s="74">
        <v>6642</v>
      </c>
      <c r="I63" s="104">
        <v>18446.7</v>
      </c>
      <c r="J63" s="50">
        <v>2664</v>
      </c>
      <c r="K63" s="73"/>
      <c r="L63" s="73">
        <v>276.7</v>
      </c>
      <c r="M63" s="172">
        <v>9072</v>
      </c>
      <c r="N63" s="91">
        <v>6786</v>
      </c>
      <c r="O63" s="104">
        <f t="shared" si="9"/>
        <v>18798.7</v>
      </c>
      <c r="P63" s="172">
        <f t="shared" si="7"/>
        <v>352</v>
      </c>
      <c r="Q63" s="140">
        <f t="shared" si="8"/>
        <v>0.019082003827242813</v>
      </c>
      <c r="R63" s="20"/>
      <c r="S63" s="12"/>
      <c r="T63" s="12"/>
      <c r="U63" s="12"/>
      <c r="V63" s="12"/>
      <c r="W63" s="12"/>
      <c r="X63" s="12"/>
      <c r="Y63" s="12"/>
    </row>
    <row r="64" spans="1:25" s="13" customFormat="1" ht="12.75">
      <c r="A64" s="69"/>
      <c r="B64" s="70" t="s">
        <v>12</v>
      </c>
      <c r="C64" s="70"/>
      <c r="D64" s="173"/>
      <c r="E64" s="170"/>
      <c r="F64" s="170"/>
      <c r="G64" s="170"/>
      <c r="H64" s="170"/>
      <c r="I64" s="103"/>
      <c r="J64" s="173"/>
      <c r="K64" s="170"/>
      <c r="L64" s="170"/>
      <c r="M64" s="170"/>
      <c r="N64" s="170"/>
      <c r="O64" s="103"/>
      <c r="P64" s="170"/>
      <c r="Q64" s="138"/>
      <c r="R64" s="20"/>
      <c r="S64" s="12"/>
      <c r="T64" s="12"/>
      <c r="U64" s="12"/>
      <c r="V64" s="12"/>
      <c r="W64" s="12"/>
      <c r="X64" s="12"/>
      <c r="Y64" s="12"/>
    </row>
    <row r="65" spans="1:25" s="13" customFormat="1" ht="12.75">
      <c r="A65" s="68"/>
      <c r="B65" s="107"/>
      <c r="C65" s="107" t="s">
        <v>43</v>
      </c>
      <c r="D65" s="173">
        <v>33663</v>
      </c>
      <c r="E65" s="170"/>
      <c r="F65" s="170">
        <v>266.7</v>
      </c>
      <c r="G65" s="170">
        <v>8910</v>
      </c>
      <c r="H65" s="87">
        <v>6642</v>
      </c>
      <c r="I65" s="103">
        <v>49481.7</v>
      </c>
      <c r="J65" s="173">
        <v>34639</v>
      </c>
      <c r="K65" s="170"/>
      <c r="L65" s="89">
        <v>276.7</v>
      </c>
      <c r="M65" s="170">
        <v>9072</v>
      </c>
      <c r="N65" s="87">
        <v>6786</v>
      </c>
      <c r="O65" s="103">
        <f t="shared" si="9"/>
        <v>50773.7</v>
      </c>
      <c r="P65" s="170">
        <f t="shared" si="7"/>
        <v>1292</v>
      </c>
      <c r="Q65" s="138">
        <f t="shared" si="8"/>
        <v>0.02611066313404754</v>
      </c>
      <c r="R65" s="20"/>
      <c r="S65" s="12"/>
      <c r="T65" s="12"/>
      <c r="U65" s="12"/>
      <c r="V65" s="12"/>
      <c r="W65" s="12"/>
      <c r="X65" s="12"/>
      <c r="Y65" s="12"/>
    </row>
    <row r="66" spans="1:25" s="13" customFormat="1" ht="12.75">
      <c r="A66" s="68"/>
      <c r="B66" s="107"/>
      <c r="C66" s="107" t="s">
        <v>44</v>
      </c>
      <c r="D66" s="173">
        <v>30889</v>
      </c>
      <c r="E66" s="170"/>
      <c r="F66" s="170">
        <v>266.7</v>
      </c>
      <c r="G66" s="170">
        <v>8910</v>
      </c>
      <c r="H66" s="87">
        <v>6642</v>
      </c>
      <c r="I66" s="103">
        <v>46707.7</v>
      </c>
      <c r="J66" s="173">
        <v>32125</v>
      </c>
      <c r="K66" s="170"/>
      <c r="L66" s="89">
        <v>276.7</v>
      </c>
      <c r="M66" s="170">
        <v>9072</v>
      </c>
      <c r="N66" s="87">
        <v>6786</v>
      </c>
      <c r="O66" s="103">
        <f t="shared" si="9"/>
        <v>48259.7</v>
      </c>
      <c r="P66" s="170">
        <f t="shared" si="7"/>
        <v>1552</v>
      </c>
      <c r="Q66" s="138">
        <f t="shared" si="8"/>
        <v>0.033227926016481224</v>
      </c>
      <c r="R66" s="20"/>
      <c r="S66" s="12"/>
      <c r="T66" s="12"/>
      <c r="U66" s="12"/>
      <c r="V66" s="12"/>
      <c r="W66" s="12"/>
      <c r="X66" s="12"/>
      <c r="Y66" s="12"/>
    </row>
    <row r="67" spans="1:25" s="13" customFormat="1" ht="12.75">
      <c r="A67" s="68"/>
      <c r="B67" s="107"/>
      <c r="C67" s="107" t="s">
        <v>45</v>
      </c>
      <c r="D67" s="173">
        <v>13200</v>
      </c>
      <c r="E67" s="89"/>
      <c r="F67" s="89">
        <v>266.7</v>
      </c>
      <c r="G67" s="170">
        <v>8910</v>
      </c>
      <c r="H67" s="87">
        <v>6642</v>
      </c>
      <c r="I67" s="103">
        <v>29018.7</v>
      </c>
      <c r="J67" s="173">
        <v>14010</v>
      </c>
      <c r="K67" s="89"/>
      <c r="L67" s="89">
        <v>276.7</v>
      </c>
      <c r="M67" s="170">
        <v>9072</v>
      </c>
      <c r="N67" s="87">
        <v>6786</v>
      </c>
      <c r="O67" s="103">
        <f t="shared" si="9"/>
        <v>30144.7</v>
      </c>
      <c r="P67" s="170">
        <f t="shared" si="7"/>
        <v>1126</v>
      </c>
      <c r="Q67" s="138">
        <f t="shared" si="8"/>
        <v>0.03880256524241265</v>
      </c>
      <c r="R67" s="20"/>
      <c r="S67" s="12"/>
      <c r="T67" s="12"/>
      <c r="U67" s="12"/>
      <c r="V67" s="12"/>
      <c r="W67" s="12"/>
      <c r="X67" s="12"/>
      <c r="Y67" s="12"/>
    </row>
    <row r="68" spans="1:25" s="13" customFormat="1" ht="12.75">
      <c r="A68" s="68"/>
      <c r="B68" s="107"/>
      <c r="C68" s="107" t="s">
        <v>38</v>
      </c>
      <c r="D68" s="173">
        <v>15600</v>
      </c>
      <c r="E68" s="89"/>
      <c r="F68" s="89">
        <v>266.7</v>
      </c>
      <c r="G68" s="170">
        <v>8910</v>
      </c>
      <c r="H68" s="87">
        <v>6642</v>
      </c>
      <c r="I68" s="103">
        <v>31418.7</v>
      </c>
      <c r="J68" s="173">
        <v>16800</v>
      </c>
      <c r="K68" s="89"/>
      <c r="L68" s="89">
        <v>276.7</v>
      </c>
      <c r="M68" s="170">
        <v>9072</v>
      </c>
      <c r="N68" s="87">
        <v>6786</v>
      </c>
      <c r="O68" s="103">
        <f t="shared" si="9"/>
        <v>32934.7</v>
      </c>
      <c r="P68" s="170">
        <f t="shared" si="7"/>
        <v>1515.9999999999964</v>
      </c>
      <c r="Q68" s="138">
        <f t="shared" si="8"/>
        <v>0.0482515189998312</v>
      </c>
      <c r="R68" s="20"/>
      <c r="S68" s="12"/>
      <c r="T68" s="12"/>
      <c r="U68" s="12"/>
      <c r="V68" s="12"/>
      <c r="W68" s="12"/>
      <c r="X68" s="12"/>
      <c r="Y68" s="12"/>
    </row>
    <row r="69" spans="1:25" s="13" customFormat="1" ht="13.5" thickBot="1">
      <c r="A69" s="71"/>
      <c r="B69" s="72"/>
      <c r="C69" s="72" t="s">
        <v>46</v>
      </c>
      <c r="D69" s="174">
        <v>24614</v>
      </c>
      <c r="E69" s="171"/>
      <c r="F69" s="171">
        <v>266.7</v>
      </c>
      <c r="G69" s="171">
        <v>8910</v>
      </c>
      <c r="H69" s="95">
        <v>6642</v>
      </c>
      <c r="I69" s="112">
        <v>40432.7</v>
      </c>
      <c r="J69" s="174">
        <v>25599</v>
      </c>
      <c r="K69" s="171"/>
      <c r="L69" s="171">
        <v>276.7</v>
      </c>
      <c r="M69" s="171">
        <v>9072</v>
      </c>
      <c r="N69" s="95">
        <v>6786</v>
      </c>
      <c r="O69" s="112">
        <f t="shared" si="9"/>
        <v>41733.7</v>
      </c>
      <c r="P69" s="171">
        <f t="shared" si="7"/>
        <v>1301</v>
      </c>
      <c r="Q69" s="141">
        <f t="shared" si="8"/>
        <v>0.03217692610189278</v>
      </c>
      <c r="R69" s="20"/>
      <c r="S69" s="12"/>
      <c r="T69" s="12"/>
      <c r="U69" s="12"/>
      <c r="V69" s="12"/>
      <c r="W69" s="12"/>
      <c r="X69" s="12"/>
      <c r="Y69" s="12"/>
    </row>
    <row r="70" spans="1:25" s="7" customFormat="1" ht="15.75">
      <c r="A70" s="4"/>
      <c r="B70" s="8" t="s">
        <v>26</v>
      </c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9"/>
      <c r="R70" s="6"/>
      <c r="S70" s="6"/>
      <c r="T70" s="6"/>
      <c r="U70" s="6"/>
      <c r="V70" s="6"/>
      <c r="W70" s="6"/>
      <c r="X70" s="6"/>
      <c r="Y70" s="6"/>
    </row>
    <row r="71" spans="1:25" s="7" customFormat="1" ht="15.75">
      <c r="A71" s="82"/>
      <c r="B71" s="83"/>
      <c r="C71" s="198" t="s">
        <v>66</v>
      </c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4"/>
      <c r="R71" s="6"/>
      <c r="S71" s="6"/>
      <c r="T71" s="6"/>
      <c r="U71" s="6"/>
      <c r="V71" s="6"/>
      <c r="W71" s="6"/>
      <c r="X71" s="6"/>
      <c r="Y71" s="6"/>
    </row>
    <row r="72" spans="1:25" s="13" customFormat="1" ht="12.75">
      <c r="A72" s="17"/>
      <c r="B72" s="17"/>
      <c r="C72" s="201" t="s">
        <v>76</v>
      </c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9"/>
      <c r="R72" s="12"/>
      <c r="S72" s="12"/>
      <c r="T72" s="12"/>
      <c r="U72" s="12"/>
      <c r="V72" s="12"/>
      <c r="W72" s="12"/>
      <c r="X72" s="12"/>
      <c r="Y72" s="12"/>
    </row>
    <row r="73" spans="3:25" s="17" customFormat="1" ht="12.75" customHeight="1">
      <c r="C73" s="201" t="s">
        <v>77</v>
      </c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9"/>
      <c r="R73" s="26"/>
      <c r="S73" s="26"/>
      <c r="T73" s="26"/>
      <c r="U73" s="26"/>
      <c r="V73" s="26"/>
      <c r="W73" s="26"/>
      <c r="X73" s="26"/>
      <c r="Y73" s="26"/>
    </row>
    <row r="74" spans="1:25" s="13" customFormat="1" ht="14.25" customHeight="1">
      <c r="A74" s="17"/>
      <c r="B74" s="17"/>
      <c r="C74" s="198" t="s">
        <v>78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9"/>
      <c r="R74" s="12"/>
      <c r="S74" s="12"/>
      <c r="T74" s="12"/>
      <c r="U74" s="12"/>
      <c r="V74" s="12"/>
      <c r="W74" s="12"/>
      <c r="X74" s="12"/>
      <c r="Y74" s="12"/>
    </row>
    <row r="75" spans="3:25" s="13" customFormat="1" ht="25.5" customHeight="1">
      <c r="C75" s="265" t="s">
        <v>60</v>
      </c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12"/>
      <c r="S75" s="12"/>
      <c r="T75" s="12"/>
      <c r="U75" s="12"/>
      <c r="V75" s="12"/>
      <c r="W75" s="12"/>
      <c r="X75" s="12"/>
      <c r="Y75" s="12"/>
    </row>
    <row r="76" spans="3:25" s="13" customFormat="1" ht="12.75">
      <c r="C76" s="196" t="s">
        <v>27</v>
      </c>
      <c r="D76" s="196"/>
      <c r="E76" s="196"/>
      <c r="F76" s="196"/>
      <c r="G76" s="196"/>
      <c r="H76" s="196"/>
      <c r="I76" s="200"/>
      <c r="J76" s="196"/>
      <c r="K76" s="196"/>
      <c r="L76" s="196"/>
      <c r="M76" s="196"/>
      <c r="N76" s="196"/>
      <c r="O76" s="200"/>
      <c r="P76" s="196"/>
      <c r="Q76" s="200"/>
      <c r="R76" s="12"/>
      <c r="S76" s="12"/>
      <c r="T76" s="12"/>
      <c r="U76" s="12"/>
      <c r="V76" s="12"/>
      <c r="W76" s="12"/>
      <c r="X76" s="12"/>
      <c r="Y76" s="12"/>
    </row>
    <row r="77" spans="3:25" s="13" customFormat="1" ht="12.75">
      <c r="C77" s="196" t="s">
        <v>79</v>
      </c>
      <c r="D77" s="196"/>
      <c r="E77" s="196"/>
      <c r="F77" s="196"/>
      <c r="G77" s="196"/>
      <c r="H77" s="196"/>
      <c r="I77" s="200"/>
      <c r="J77" s="196"/>
      <c r="K77" s="196"/>
      <c r="L77" s="196"/>
      <c r="M77" s="196"/>
      <c r="N77" s="196"/>
      <c r="O77" s="200"/>
      <c r="P77" s="196"/>
      <c r="Q77" s="200"/>
      <c r="R77" s="12"/>
      <c r="S77" s="12"/>
      <c r="T77" s="12"/>
      <c r="U77" s="12"/>
      <c r="V77" s="12"/>
      <c r="W77" s="12"/>
      <c r="X77" s="12"/>
      <c r="Y77" s="12"/>
    </row>
    <row r="78" spans="3:25" s="13" customFormat="1" ht="12.75">
      <c r="C78" s="198" t="s">
        <v>80</v>
      </c>
      <c r="D78" s="196"/>
      <c r="E78" s="196"/>
      <c r="F78" s="196"/>
      <c r="G78" s="196"/>
      <c r="H78" s="196"/>
      <c r="I78" s="200"/>
      <c r="J78" s="196"/>
      <c r="K78" s="196"/>
      <c r="L78" s="196"/>
      <c r="M78" s="196"/>
      <c r="N78" s="196"/>
      <c r="O78" s="200"/>
      <c r="P78" s="196"/>
      <c r="Q78" s="200"/>
      <c r="R78" s="12"/>
      <c r="S78" s="12"/>
      <c r="T78" s="12"/>
      <c r="U78" s="12"/>
      <c r="V78" s="12"/>
      <c r="W78" s="12"/>
      <c r="X78" s="12"/>
      <c r="Y78" s="12"/>
    </row>
    <row r="79" spans="3:17" ht="12.75">
      <c r="C79" s="197" t="s">
        <v>64</v>
      </c>
      <c r="D79" s="196"/>
      <c r="E79" s="196"/>
      <c r="F79" s="196"/>
      <c r="G79" s="196"/>
      <c r="H79" s="196"/>
      <c r="I79" s="200"/>
      <c r="J79" s="196"/>
      <c r="K79" s="196"/>
      <c r="L79" s="196"/>
      <c r="M79" s="196"/>
      <c r="N79" s="196"/>
      <c r="O79" s="200"/>
      <c r="P79" s="196"/>
      <c r="Q79" s="200"/>
    </row>
  </sheetData>
  <sheetProtection/>
  <mergeCells count="10">
    <mergeCell ref="C75:Q75"/>
    <mergeCell ref="D6:E6"/>
    <mergeCell ref="D7:E7"/>
    <mergeCell ref="A3:Q3"/>
    <mergeCell ref="J6:K6"/>
    <mergeCell ref="J7:K7"/>
    <mergeCell ref="D5:I5"/>
    <mergeCell ref="J5:O5"/>
    <mergeCell ref="P5:Q5"/>
    <mergeCell ref="P4:Q4"/>
  </mergeCells>
  <printOptions horizontalCentered="1"/>
  <pageMargins left="0.25" right="0.25" top="0.75" bottom="0.75" header="0.3" footer="0.3"/>
  <pageSetup fitToHeight="2" horizontalDpi="600" verticalDpi="600" orientation="landscape" scale="78" r:id="rId1"/>
  <rowBreaks count="1" manualBreakCount="1">
    <brk id="4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view="pageBreakPreview" zoomScaleNormal="75" zoomScaleSheetLayoutView="100" zoomScalePageLayoutView="0" workbookViewId="0" topLeftCell="A1">
      <selection activeCell="Q1" sqref="Q1"/>
    </sheetView>
  </sheetViews>
  <sheetFormatPr defaultColWidth="9.140625" defaultRowHeight="12.75"/>
  <cols>
    <col min="1" max="1" width="2.00390625" style="15" customWidth="1"/>
    <col min="2" max="2" width="2.28125" style="15" customWidth="1"/>
    <col min="3" max="3" width="35.00390625" style="15" customWidth="1"/>
    <col min="4" max="4" width="9.8515625" style="15" customWidth="1"/>
    <col min="5" max="5" width="2.00390625" style="15" customWidth="1"/>
    <col min="6" max="6" width="9.8515625" style="15" customWidth="1"/>
    <col min="7" max="8" width="8.8515625" style="15" customWidth="1"/>
    <col min="9" max="9" width="10.00390625" style="21" customWidth="1"/>
    <col min="10" max="10" width="8.8515625" style="15" bestFit="1" customWidth="1"/>
    <col min="11" max="11" width="2.140625" style="15" bestFit="1" customWidth="1"/>
    <col min="12" max="13" width="10.00390625" style="15" customWidth="1"/>
    <col min="14" max="14" width="8.8515625" style="15" customWidth="1"/>
    <col min="15" max="15" width="8.8515625" style="21" customWidth="1"/>
    <col min="16" max="16" width="10.57421875" style="15" customWidth="1"/>
    <col min="17" max="17" width="9.57421875" style="21" customWidth="1"/>
    <col min="18" max="26" width="8.8515625" style="14" customWidth="1"/>
    <col min="27" max="16384" width="9.140625" style="15" customWidth="1"/>
  </cols>
  <sheetData>
    <row r="1" spans="1:17" ht="18">
      <c r="A1" s="231" t="s">
        <v>85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7" ht="18">
      <c r="A2" s="255" t="s">
        <v>92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ht="18.75" thickBo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26" s="1" customFormat="1" ht="12.75">
      <c r="A4" s="250"/>
      <c r="B4" s="234"/>
      <c r="C4" s="234"/>
      <c r="D4" s="251"/>
      <c r="E4" s="236"/>
      <c r="F4" s="236"/>
      <c r="G4" s="236"/>
      <c r="H4" s="236"/>
      <c r="I4" s="237"/>
      <c r="J4" s="236"/>
      <c r="K4" s="236"/>
      <c r="L4" s="236"/>
      <c r="M4" s="236"/>
      <c r="N4" s="236"/>
      <c r="O4" s="237"/>
      <c r="P4" s="266" t="s">
        <v>0</v>
      </c>
      <c r="Q4" s="274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ht="13.5" thickBot="1">
      <c r="A5" s="252"/>
      <c r="B5" s="239"/>
      <c r="C5" s="239"/>
      <c r="D5" s="275" t="s">
        <v>65</v>
      </c>
      <c r="E5" s="271"/>
      <c r="F5" s="271"/>
      <c r="G5" s="271"/>
      <c r="H5" s="271"/>
      <c r="I5" s="276"/>
      <c r="J5" s="271" t="s">
        <v>67</v>
      </c>
      <c r="K5" s="272"/>
      <c r="L5" s="272"/>
      <c r="M5" s="272"/>
      <c r="N5" s="272"/>
      <c r="O5" s="273"/>
      <c r="P5" s="268" t="s">
        <v>20</v>
      </c>
      <c r="Q5" s="273"/>
      <c r="R5" s="2"/>
      <c r="S5" s="2"/>
      <c r="T5" s="2"/>
      <c r="U5" s="2"/>
      <c r="V5" s="2"/>
      <c r="W5" s="2"/>
      <c r="X5" s="2"/>
      <c r="Y5" s="2"/>
      <c r="Z5" s="2"/>
    </row>
    <row r="6" spans="1:26" s="1" customFormat="1" ht="14.25">
      <c r="A6" s="252"/>
      <c r="B6" s="239"/>
      <c r="C6" s="239"/>
      <c r="D6" s="266" t="s">
        <v>87</v>
      </c>
      <c r="E6" s="267"/>
      <c r="F6" s="241" t="s">
        <v>59</v>
      </c>
      <c r="G6" s="241" t="s">
        <v>59</v>
      </c>
      <c r="H6" s="241" t="s">
        <v>59</v>
      </c>
      <c r="I6" s="242" t="s">
        <v>59</v>
      </c>
      <c r="J6" s="266" t="s">
        <v>88</v>
      </c>
      <c r="K6" s="267"/>
      <c r="L6" s="241" t="s">
        <v>68</v>
      </c>
      <c r="M6" s="241" t="s">
        <v>68</v>
      </c>
      <c r="N6" s="241" t="s">
        <v>68</v>
      </c>
      <c r="O6" s="242" t="s">
        <v>68</v>
      </c>
      <c r="P6" s="243" t="s">
        <v>16</v>
      </c>
      <c r="Q6" s="244" t="s">
        <v>17</v>
      </c>
      <c r="R6" s="2"/>
      <c r="S6" s="2"/>
      <c r="T6" s="2"/>
      <c r="U6" s="2"/>
      <c r="V6" s="2"/>
      <c r="W6" s="2"/>
      <c r="X6" s="2"/>
      <c r="Y6" s="2"/>
      <c r="Z6" s="2"/>
    </row>
    <row r="7" spans="1:26" s="1" customFormat="1" ht="15" thickBot="1">
      <c r="A7" s="253"/>
      <c r="B7" s="246"/>
      <c r="C7" s="246"/>
      <c r="D7" s="268" t="s">
        <v>19</v>
      </c>
      <c r="E7" s="269"/>
      <c r="F7" s="247" t="s">
        <v>89</v>
      </c>
      <c r="G7" s="247" t="s">
        <v>90</v>
      </c>
      <c r="H7" s="247" t="s">
        <v>91</v>
      </c>
      <c r="I7" s="248" t="s">
        <v>18</v>
      </c>
      <c r="J7" s="268" t="s">
        <v>19</v>
      </c>
      <c r="K7" s="269"/>
      <c r="L7" s="247" t="s">
        <v>89</v>
      </c>
      <c r="M7" s="247" t="s">
        <v>90</v>
      </c>
      <c r="N7" s="247" t="s">
        <v>91</v>
      </c>
      <c r="O7" s="248" t="s">
        <v>18</v>
      </c>
      <c r="P7" s="243" t="s">
        <v>0</v>
      </c>
      <c r="Q7" s="249" t="s">
        <v>0</v>
      </c>
      <c r="R7" s="2"/>
      <c r="S7" s="2"/>
      <c r="T7" s="2"/>
      <c r="U7" s="2"/>
      <c r="V7" s="2"/>
      <c r="W7" s="2"/>
      <c r="X7" s="2"/>
      <c r="Y7" s="2"/>
      <c r="Z7" s="2"/>
    </row>
    <row r="8" spans="1:17" ht="16.5" thickBot="1">
      <c r="A8" s="158" t="s">
        <v>13</v>
      </c>
      <c r="B8" s="151"/>
      <c r="C8" s="152"/>
      <c r="D8" s="152"/>
      <c r="E8" s="151"/>
      <c r="F8" s="151"/>
      <c r="G8" s="151"/>
      <c r="H8" s="151"/>
      <c r="I8" s="153"/>
      <c r="J8" s="152"/>
      <c r="K8" s="151"/>
      <c r="L8" s="151"/>
      <c r="M8" s="151"/>
      <c r="N8" s="151"/>
      <c r="O8" s="153"/>
      <c r="P8" s="152"/>
      <c r="Q8" s="153"/>
    </row>
    <row r="9" spans="1:17" ht="12.75">
      <c r="A9" s="100"/>
      <c r="B9" s="101" t="s">
        <v>1</v>
      </c>
      <c r="C9" s="101"/>
      <c r="D9" s="100"/>
      <c r="E9" s="101"/>
      <c r="F9" s="101"/>
      <c r="G9" s="101"/>
      <c r="H9" s="101"/>
      <c r="I9" s="108"/>
      <c r="J9" s="144"/>
      <c r="K9" s="145"/>
      <c r="L9" s="145"/>
      <c r="M9" s="145"/>
      <c r="N9" s="145"/>
      <c r="O9" s="102"/>
      <c r="P9" s="144"/>
      <c r="Q9" s="102"/>
    </row>
    <row r="10" spans="1:17" ht="14.25">
      <c r="A10" s="100"/>
      <c r="B10" s="101"/>
      <c r="C10" s="101" t="s">
        <v>29</v>
      </c>
      <c r="D10" s="36">
        <f>2190*2</f>
        <v>4380</v>
      </c>
      <c r="E10" s="43"/>
      <c r="F10" s="170">
        <v>1350</v>
      </c>
      <c r="G10" s="170">
        <v>12258</v>
      </c>
      <c r="H10" s="87">
        <v>3321</v>
      </c>
      <c r="I10" s="103">
        <f>D10+F10+G10+H10</f>
        <v>21309</v>
      </c>
      <c r="J10" s="36">
        <v>4524</v>
      </c>
      <c r="K10" s="43"/>
      <c r="L10" s="202">
        <v>1504</v>
      </c>
      <c r="M10" s="170">
        <v>12810</v>
      </c>
      <c r="N10" s="87">
        <f>6786/2</f>
        <v>3393</v>
      </c>
      <c r="O10" s="103">
        <f>J10+L10+M10+N10</f>
        <v>22231</v>
      </c>
      <c r="P10" s="173">
        <f>O10-I10</f>
        <v>922</v>
      </c>
      <c r="Q10" s="138">
        <f>P10/I10</f>
        <v>0.04326810267961894</v>
      </c>
    </row>
    <row r="11" spans="1:17" ht="14.25">
      <c r="A11" s="100"/>
      <c r="B11" s="101"/>
      <c r="C11" s="101" t="s">
        <v>28</v>
      </c>
      <c r="D11" s="36">
        <f>2268*2</f>
        <v>4536</v>
      </c>
      <c r="E11" s="43"/>
      <c r="F11" s="170">
        <v>1350</v>
      </c>
      <c r="G11" s="170">
        <v>12258</v>
      </c>
      <c r="H11" s="87">
        <v>3321</v>
      </c>
      <c r="I11" s="103">
        <f>D11+F11+G11+H11</f>
        <v>21465</v>
      </c>
      <c r="J11" s="36">
        <v>4680</v>
      </c>
      <c r="K11" s="43"/>
      <c r="L11" s="202">
        <v>1504</v>
      </c>
      <c r="M11" s="170">
        <v>12810</v>
      </c>
      <c r="N11" s="87">
        <f>6786/2</f>
        <v>3393</v>
      </c>
      <c r="O11" s="103">
        <f>J11+L11+M11+N11</f>
        <v>22387</v>
      </c>
      <c r="P11" s="173">
        <f>O11-I11</f>
        <v>922</v>
      </c>
      <c r="Q11" s="138">
        <f>P11/I11</f>
        <v>0.04295364546936874</v>
      </c>
    </row>
    <row r="12" spans="1:17" ht="14.25">
      <c r="A12" s="100"/>
      <c r="B12" s="101"/>
      <c r="C12" s="101" t="s">
        <v>3</v>
      </c>
      <c r="D12" s="36">
        <f>2940*2</f>
        <v>5880</v>
      </c>
      <c r="E12" s="43"/>
      <c r="F12" s="170">
        <v>1350</v>
      </c>
      <c r="G12" s="170">
        <v>12258</v>
      </c>
      <c r="H12" s="87">
        <v>3321</v>
      </c>
      <c r="I12" s="103">
        <f>D12+F12+G12+H12</f>
        <v>22809</v>
      </c>
      <c r="J12" s="36">
        <v>6024</v>
      </c>
      <c r="K12" s="43"/>
      <c r="L12" s="202">
        <v>1504</v>
      </c>
      <c r="M12" s="170">
        <v>12810</v>
      </c>
      <c r="N12" s="87">
        <f>6786/2</f>
        <v>3393</v>
      </c>
      <c r="O12" s="103">
        <f>J12+L12+M12+N12</f>
        <v>23731</v>
      </c>
      <c r="P12" s="173">
        <f>O12-I12</f>
        <v>922</v>
      </c>
      <c r="Q12" s="138">
        <f>P12/I12</f>
        <v>0.040422640185891534</v>
      </c>
    </row>
    <row r="13" spans="1:18" ht="14.25">
      <c r="A13" s="100"/>
      <c r="B13" s="101"/>
      <c r="C13" s="101" t="s">
        <v>2</v>
      </c>
      <c r="D13" s="36">
        <f>3336*2</f>
        <v>6672</v>
      </c>
      <c r="E13" s="43"/>
      <c r="F13" s="172">
        <v>1350</v>
      </c>
      <c r="G13" s="170">
        <v>12258</v>
      </c>
      <c r="H13" s="87">
        <v>3321</v>
      </c>
      <c r="I13" s="104">
        <f>D13+F13+G13+H13</f>
        <v>23601</v>
      </c>
      <c r="J13" s="37">
        <v>6816</v>
      </c>
      <c r="K13" s="39"/>
      <c r="L13" s="203">
        <v>1504</v>
      </c>
      <c r="M13" s="170">
        <v>12810</v>
      </c>
      <c r="N13" s="91">
        <f>6786/2</f>
        <v>3393</v>
      </c>
      <c r="O13" s="104">
        <f>J13+L13+M13+N13</f>
        <v>24523</v>
      </c>
      <c r="P13" s="175">
        <f>O13-I13</f>
        <v>922</v>
      </c>
      <c r="Q13" s="140">
        <f>P13/I13</f>
        <v>0.039066141265200624</v>
      </c>
      <c r="R13" s="16"/>
    </row>
    <row r="14" spans="1:17" ht="12.75">
      <c r="A14" s="105"/>
      <c r="B14" s="106" t="s">
        <v>4</v>
      </c>
      <c r="C14" s="106"/>
      <c r="D14" s="38"/>
      <c r="E14" s="142"/>
      <c r="F14" s="170"/>
      <c r="G14" s="142"/>
      <c r="H14" s="44"/>
      <c r="I14" s="103"/>
      <c r="J14" s="36"/>
      <c r="K14" s="170"/>
      <c r="L14" s="202"/>
      <c r="M14" s="142"/>
      <c r="N14" s="87"/>
      <c r="O14" s="103"/>
      <c r="P14" s="173"/>
      <c r="Q14" s="138"/>
    </row>
    <row r="15" spans="1:18" ht="12.75">
      <c r="A15" s="100"/>
      <c r="B15" s="101"/>
      <c r="C15" s="101" t="s">
        <v>29</v>
      </c>
      <c r="D15" s="36">
        <f>3306*2</f>
        <v>6612</v>
      </c>
      <c r="E15" s="170"/>
      <c r="F15" s="170">
        <v>1359</v>
      </c>
      <c r="G15" s="170">
        <v>8910</v>
      </c>
      <c r="H15" s="87">
        <v>3321</v>
      </c>
      <c r="I15" s="103">
        <f aca="true" t="shared" si="0" ref="I15:I21">D15+F15+G15+H15</f>
        <v>20202</v>
      </c>
      <c r="J15" s="36">
        <v>6816</v>
      </c>
      <c r="K15" s="170"/>
      <c r="L15" s="202">
        <v>1513</v>
      </c>
      <c r="M15" s="170">
        <v>9072</v>
      </c>
      <c r="N15" s="87">
        <f aca="true" t="shared" si="1" ref="N15:N21">6786/2</f>
        <v>3393</v>
      </c>
      <c r="O15" s="103">
        <f aca="true" t="shared" si="2" ref="O15:O21">J15+L15+M15+N15</f>
        <v>20794</v>
      </c>
      <c r="P15" s="173">
        <f aca="true" t="shared" si="3" ref="P15:P20">O15-I15</f>
        <v>592</v>
      </c>
      <c r="Q15" s="138">
        <f aca="true" t="shared" si="4" ref="Q15:Q20">P15/I15</f>
        <v>0.029304029304029304</v>
      </c>
      <c r="R15" s="22"/>
    </row>
    <row r="16" spans="1:17" ht="12.75">
      <c r="A16" s="100"/>
      <c r="B16" s="101"/>
      <c r="C16" s="101" t="s">
        <v>28</v>
      </c>
      <c r="D16" s="36">
        <f>3306*2</f>
        <v>6612</v>
      </c>
      <c r="E16" s="170"/>
      <c r="F16" s="170">
        <v>1359</v>
      </c>
      <c r="G16" s="170">
        <v>8910</v>
      </c>
      <c r="H16" s="87">
        <v>3321</v>
      </c>
      <c r="I16" s="103">
        <f t="shared" si="0"/>
        <v>20202</v>
      </c>
      <c r="J16" s="36">
        <v>6816</v>
      </c>
      <c r="K16" s="170"/>
      <c r="L16" s="202">
        <v>1513</v>
      </c>
      <c r="M16" s="170">
        <v>9072</v>
      </c>
      <c r="N16" s="87">
        <f t="shared" si="1"/>
        <v>3393</v>
      </c>
      <c r="O16" s="103">
        <f t="shared" si="2"/>
        <v>20794</v>
      </c>
      <c r="P16" s="173">
        <f t="shared" si="3"/>
        <v>592</v>
      </c>
      <c r="Q16" s="138">
        <f t="shared" si="4"/>
        <v>0.029304029304029304</v>
      </c>
    </row>
    <row r="17" spans="1:17" ht="12.75">
      <c r="A17" s="100"/>
      <c r="B17" s="101"/>
      <c r="C17" s="101" t="s">
        <v>3</v>
      </c>
      <c r="D17" s="36">
        <f>4320*2</f>
        <v>8640</v>
      </c>
      <c r="E17" s="170"/>
      <c r="F17" s="170">
        <v>1359</v>
      </c>
      <c r="G17" s="170">
        <v>8910</v>
      </c>
      <c r="H17" s="87">
        <v>3321</v>
      </c>
      <c r="I17" s="103">
        <f t="shared" si="0"/>
        <v>22230</v>
      </c>
      <c r="J17" s="36">
        <v>8904</v>
      </c>
      <c r="K17" s="170"/>
      <c r="L17" s="202">
        <v>1513</v>
      </c>
      <c r="M17" s="170">
        <v>9072</v>
      </c>
      <c r="N17" s="87">
        <f t="shared" si="1"/>
        <v>3393</v>
      </c>
      <c r="O17" s="103">
        <f t="shared" si="2"/>
        <v>22882</v>
      </c>
      <c r="P17" s="173">
        <f t="shared" si="3"/>
        <v>652</v>
      </c>
      <c r="Q17" s="138">
        <f t="shared" si="4"/>
        <v>0.029329734592892488</v>
      </c>
    </row>
    <row r="18" spans="1:17" ht="12.75">
      <c r="A18" s="100"/>
      <c r="B18" s="101"/>
      <c r="C18" s="101" t="s">
        <v>6</v>
      </c>
      <c r="D18" s="36">
        <f>4734*2</f>
        <v>9468</v>
      </c>
      <c r="E18" s="170"/>
      <c r="F18" s="170">
        <v>1359</v>
      </c>
      <c r="G18" s="170">
        <v>8910</v>
      </c>
      <c r="H18" s="87">
        <v>3321</v>
      </c>
      <c r="I18" s="103">
        <f t="shared" si="0"/>
        <v>23058</v>
      </c>
      <c r="J18" s="36">
        <v>9756</v>
      </c>
      <c r="K18" s="170"/>
      <c r="L18" s="202">
        <v>1513</v>
      </c>
      <c r="M18" s="170">
        <v>9072</v>
      </c>
      <c r="N18" s="87">
        <f t="shared" si="1"/>
        <v>3393</v>
      </c>
      <c r="O18" s="103">
        <f t="shared" si="2"/>
        <v>23734</v>
      </c>
      <c r="P18" s="173">
        <f t="shared" si="3"/>
        <v>676</v>
      </c>
      <c r="Q18" s="138">
        <f t="shared" si="4"/>
        <v>0.02931737357966866</v>
      </c>
    </row>
    <row r="19" spans="1:17" ht="12.75">
      <c r="A19" s="100"/>
      <c r="B19" s="101"/>
      <c r="C19" s="101" t="s">
        <v>39</v>
      </c>
      <c r="D19" s="36">
        <f>5460*2</f>
        <v>10920</v>
      </c>
      <c r="E19" s="170"/>
      <c r="F19" s="170">
        <v>1359</v>
      </c>
      <c r="G19" s="170">
        <v>8910</v>
      </c>
      <c r="H19" s="87">
        <v>3321</v>
      </c>
      <c r="I19" s="103">
        <f t="shared" si="0"/>
        <v>24510</v>
      </c>
      <c r="J19" s="36">
        <v>11244</v>
      </c>
      <c r="K19" s="170"/>
      <c r="L19" s="202">
        <v>1513</v>
      </c>
      <c r="M19" s="170">
        <v>9072</v>
      </c>
      <c r="N19" s="87">
        <f t="shared" si="1"/>
        <v>3393</v>
      </c>
      <c r="O19" s="103">
        <f t="shared" si="2"/>
        <v>25222</v>
      </c>
      <c r="P19" s="173">
        <f t="shared" si="3"/>
        <v>712</v>
      </c>
      <c r="Q19" s="138">
        <f t="shared" si="4"/>
        <v>0.02904936760505916</v>
      </c>
    </row>
    <row r="20" spans="1:17" ht="12.75">
      <c r="A20" s="100"/>
      <c r="B20" s="101"/>
      <c r="C20" s="101" t="s">
        <v>42</v>
      </c>
      <c r="D20" s="36">
        <f>9906*2</f>
        <v>19812</v>
      </c>
      <c r="E20" s="170"/>
      <c r="F20" s="170">
        <v>1359</v>
      </c>
      <c r="G20" s="170">
        <v>8910</v>
      </c>
      <c r="H20" s="87">
        <v>3321</v>
      </c>
      <c r="I20" s="103">
        <f t="shared" si="0"/>
        <v>33402</v>
      </c>
      <c r="J20" s="36">
        <f>9906*2</f>
        <v>19812</v>
      </c>
      <c r="K20" s="170"/>
      <c r="L20" s="202">
        <v>1513</v>
      </c>
      <c r="M20" s="170">
        <v>9072</v>
      </c>
      <c r="N20" s="87">
        <f t="shared" si="1"/>
        <v>3393</v>
      </c>
      <c r="O20" s="103">
        <f t="shared" si="2"/>
        <v>33790</v>
      </c>
      <c r="P20" s="173">
        <f t="shared" si="3"/>
        <v>388</v>
      </c>
      <c r="Q20" s="138">
        <f t="shared" si="4"/>
        <v>0.011616070893958446</v>
      </c>
    </row>
    <row r="21" spans="1:17" ht="13.5" thickBot="1">
      <c r="A21" s="100"/>
      <c r="B21" s="101"/>
      <c r="C21" s="107" t="s">
        <v>84</v>
      </c>
      <c r="D21" s="36">
        <f>10134*2</f>
        <v>20268</v>
      </c>
      <c r="E21" s="170"/>
      <c r="F21" s="170">
        <v>1359</v>
      </c>
      <c r="G21" s="170">
        <v>8910</v>
      </c>
      <c r="H21" s="87">
        <v>3321</v>
      </c>
      <c r="I21" s="103">
        <f t="shared" si="0"/>
        <v>33858</v>
      </c>
      <c r="J21" s="36">
        <f>10134*2</f>
        <v>20268</v>
      </c>
      <c r="K21" s="170"/>
      <c r="L21" s="202">
        <v>1513</v>
      </c>
      <c r="M21" s="170">
        <v>9072</v>
      </c>
      <c r="N21" s="87">
        <f t="shared" si="1"/>
        <v>3393</v>
      </c>
      <c r="O21" s="103">
        <f t="shared" si="2"/>
        <v>34246</v>
      </c>
      <c r="P21" s="173">
        <f>O21-I21</f>
        <v>388</v>
      </c>
      <c r="Q21" s="138">
        <f>P21/I21</f>
        <v>0.011459625494713214</v>
      </c>
    </row>
    <row r="22" spans="1:17" ht="16.5" thickBot="1">
      <c r="A22" s="158" t="s">
        <v>7</v>
      </c>
      <c r="B22" s="151"/>
      <c r="C22" s="151"/>
      <c r="D22" s="154"/>
      <c r="E22" s="155"/>
      <c r="F22" s="155"/>
      <c r="G22" s="151"/>
      <c r="H22" s="151"/>
      <c r="I22" s="156"/>
      <c r="J22" s="154"/>
      <c r="K22" s="155"/>
      <c r="L22" s="155"/>
      <c r="M22" s="151"/>
      <c r="N22" s="155"/>
      <c r="O22" s="156"/>
      <c r="P22" s="154"/>
      <c r="Q22" s="153"/>
    </row>
    <row r="23" spans="1:17" ht="12.75">
      <c r="A23" s="100"/>
      <c r="B23" s="101" t="s">
        <v>1</v>
      </c>
      <c r="C23" s="101"/>
      <c r="D23" s="52"/>
      <c r="E23" s="87"/>
      <c r="F23" s="87"/>
      <c r="G23" s="101"/>
      <c r="H23" s="101"/>
      <c r="I23" s="51"/>
      <c r="J23" s="52"/>
      <c r="K23" s="87"/>
      <c r="L23" s="87"/>
      <c r="M23" s="101"/>
      <c r="N23" s="147"/>
      <c r="O23" s="51"/>
      <c r="P23" s="52"/>
      <c r="Q23" s="108"/>
    </row>
    <row r="24" spans="1:17" ht="12.75">
      <c r="A24" s="100"/>
      <c r="B24" s="101"/>
      <c r="C24" s="101" t="s">
        <v>40</v>
      </c>
      <c r="D24" s="173">
        <v>2988</v>
      </c>
      <c r="E24" s="170"/>
      <c r="F24" s="170">
        <v>765</v>
      </c>
      <c r="G24" s="170">
        <v>8800</v>
      </c>
      <c r="H24" s="87">
        <v>3321</v>
      </c>
      <c r="I24" s="103">
        <v>15874</v>
      </c>
      <c r="J24" s="173">
        <v>3084</v>
      </c>
      <c r="K24" s="170"/>
      <c r="L24" s="170">
        <v>1009</v>
      </c>
      <c r="M24" s="170">
        <v>9150</v>
      </c>
      <c r="N24" s="87">
        <f>6786/2</f>
        <v>3393</v>
      </c>
      <c r="O24" s="103">
        <f>J24+L24+M24+N24</f>
        <v>16636</v>
      </c>
      <c r="P24" s="173">
        <f>O24-I24</f>
        <v>762</v>
      </c>
      <c r="Q24" s="138">
        <f>P24/I24</f>
        <v>0.048003023812523624</v>
      </c>
    </row>
    <row r="25" spans="1:17" ht="14.25">
      <c r="A25" s="100"/>
      <c r="B25" s="101"/>
      <c r="C25" s="101" t="s">
        <v>31</v>
      </c>
      <c r="D25" s="173">
        <v>3216</v>
      </c>
      <c r="E25" s="43"/>
      <c r="F25" s="170">
        <v>765</v>
      </c>
      <c r="G25" s="170">
        <v>8800</v>
      </c>
      <c r="H25" s="87">
        <v>3321</v>
      </c>
      <c r="I25" s="103">
        <v>16102</v>
      </c>
      <c r="J25" s="173">
        <v>3324</v>
      </c>
      <c r="K25" s="43"/>
      <c r="L25" s="170">
        <v>1009</v>
      </c>
      <c r="M25" s="170">
        <v>9150</v>
      </c>
      <c r="N25" s="87">
        <f>6786/2</f>
        <v>3393</v>
      </c>
      <c r="O25" s="103">
        <f>J25+L25+M25+N25</f>
        <v>16876</v>
      </c>
      <c r="P25" s="173">
        <f>O25-I25</f>
        <v>774</v>
      </c>
      <c r="Q25" s="138">
        <f>P25/I25</f>
        <v>0.04806856291143957</v>
      </c>
    </row>
    <row r="26" spans="1:17" ht="14.25">
      <c r="A26" s="100"/>
      <c r="B26" s="101"/>
      <c r="C26" s="101" t="s">
        <v>32</v>
      </c>
      <c r="D26" s="173">
        <v>3672</v>
      </c>
      <c r="E26" s="43"/>
      <c r="F26" s="170">
        <v>765</v>
      </c>
      <c r="G26" s="170">
        <v>8800</v>
      </c>
      <c r="H26" s="87">
        <v>3321</v>
      </c>
      <c r="I26" s="103">
        <v>16558</v>
      </c>
      <c r="J26" s="173">
        <v>3792</v>
      </c>
      <c r="K26" s="43"/>
      <c r="L26" s="170">
        <v>1009</v>
      </c>
      <c r="M26" s="170">
        <v>9150</v>
      </c>
      <c r="N26" s="87">
        <f>6786/2</f>
        <v>3393</v>
      </c>
      <c r="O26" s="103">
        <f>J26+L26+M26+N26</f>
        <v>17344</v>
      </c>
      <c r="P26" s="173">
        <f>O26-I26</f>
        <v>786</v>
      </c>
      <c r="Q26" s="138">
        <f>P26/I26</f>
        <v>0.04746950114748158</v>
      </c>
    </row>
    <row r="27" spans="1:17" ht="14.25">
      <c r="A27" s="100"/>
      <c r="B27" s="101"/>
      <c r="C27" s="101" t="s">
        <v>25</v>
      </c>
      <c r="D27" s="175">
        <v>4284</v>
      </c>
      <c r="E27" s="43"/>
      <c r="F27" s="172">
        <v>765</v>
      </c>
      <c r="G27" s="170">
        <v>8800</v>
      </c>
      <c r="H27" s="87">
        <v>3321</v>
      </c>
      <c r="I27" s="104">
        <v>17170</v>
      </c>
      <c r="J27" s="175">
        <v>4428</v>
      </c>
      <c r="K27" s="39"/>
      <c r="L27" s="172">
        <v>1009</v>
      </c>
      <c r="M27" s="170">
        <v>9150</v>
      </c>
      <c r="N27" s="91">
        <f>6786/2</f>
        <v>3393</v>
      </c>
      <c r="O27" s="104">
        <f>J27+L27+M27+N27</f>
        <v>17980</v>
      </c>
      <c r="P27" s="175">
        <f>O27-I27</f>
        <v>810</v>
      </c>
      <c r="Q27" s="140">
        <f>P27/I27</f>
        <v>0.04717530576587071</v>
      </c>
    </row>
    <row r="28" spans="1:17" ht="12.75">
      <c r="A28" s="105"/>
      <c r="B28" s="106" t="s">
        <v>4</v>
      </c>
      <c r="C28" s="106"/>
      <c r="D28" s="173"/>
      <c r="E28" s="142"/>
      <c r="F28" s="170"/>
      <c r="G28" s="142"/>
      <c r="H28" s="44"/>
      <c r="I28" s="103"/>
      <c r="J28" s="173"/>
      <c r="K28" s="170"/>
      <c r="L28" s="170"/>
      <c r="M28" s="142"/>
      <c r="N28" s="87"/>
      <c r="O28" s="103"/>
      <c r="P28" s="173"/>
      <c r="Q28" s="138"/>
    </row>
    <row r="29" spans="1:26" ht="12.75">
      <c r="A29" s="100"/>
      <c r="B29" s="101"/>
      <c r="C29" s="101" t="s">
        <v>23</v>
      </c>
      <c r="D29" s="173">
        <v>5634</v>
      </c>
      <c r="E29" s="170"/>
      <c r="F29" s="170">
        <v>765</v>
      </c>
      <c r="G29" s="170">
        <v>8910</v>
      </c>
      <c r="H29" s="87">
        <v>3321</v>
      </c>
      <c r="I29" s="103">
        <v>18630</v>
      </c>
      <c r="J29" s="173">
        <v>5832</v>
      </c>
      <c r="K29" s="170"/>
      <c r="L29" s="170">
        <v>1009</v>
      </c>
      <c r="M29" s="170">
        <v>9072</v>
      </c>
      <c r="N29" s="87">
        <f>6786/2</f>
        <v>3393</v>
      </c>
      <c r="O29" s="103">
        <f>J29+L29+M29+N29</f>
        <v>19306</v>
      </c>
      <c r="P29" s="173">
        <f>O29-I29</f>
        <v>676</v>
      </c>
      <c r="Q29" s="138">
        <f>P29/I29</f>
        <v>0.03628556092324208</v>
      </c>
      <c r="Z29" s="98"/>
    </row>
    <row r="30" spans="1:17" ht="12.75">
      <c r="A30" s="100"/>
      <c r="B30" s="101"/>
      <c r="C30" s="101" t="s">
        <v>22</v>
      </c>
      <c r="D30" s="173">
        <v>6170</v>
      </c>
      <c r="E30" s="170"/>
      <c r="F30" s="170">
        <v>765</v>
      </c>
      <c r="G30" s="170">
        <v>8910</v>
      </c>
      <c r="H30" s="87">
        <v>3321</v>
      </c>
      <c r="I30" s="103">
        <v>19166</v>
      </c>
      <c r="J30" s="173">
        <v>6384</v>
      </c>
      <c r="K30" s="170"/>
      <c r="L30" s="170">
        <v>1009</v>
      </c>
      <c r="M30" s="170">
        <v>9072</v>
      </c>
      <c r="N30" s="87">
        <f>6786/2</f>
        <v>3393</v>
      </c>
      <c r="O30" s="103">
        <f>J30+L30+M30+N30</f>
        <v>19858</v>
      </c>
      <c r="P30" s="173">
        <f>O30-I30</f>
        <v>692</v>
      </c>
      <c r="Q30" s="138">
        <f>P30/I30</f>
        <v>0.03610560367317124</v>
      </c>
    </row>
    <row r="31" spans="1:17" ht="12.75">
      <c r="A31" s="100"/>
      <c r="B31" s="101"/>
      <c r="C31" s="101" t="s">
        <v>21</v>
      </c>
      <c r="D31" s="173">
        <v>6576</v>
      </c>
      <c r="E31" s="170"/>
      <c r="F31" s="170">
        <v>765</v>
      </c>
      <c r="G31" s="170">
        <v>8910</v>
      </c>
      <c r="H31" s="87">
        <v>3321</v>
      </c>
      <c r="I31" s="103">
        <v>19572</v>
      </c>
      <c r="J31" s="173">
        <v>6804</v>
      </c>
      <c r="K31" s="170"/>
      <c r="L31" s="170">
        <v>1009</v>
      </c>
      <c r="M31" s="170">
        <v>9072</v>
      </c>
      <c r="N31" s="87">
        <f>6786/2</f>
        <v>3393</v>
      </c>
      <c r="O31" s="103">
        <f>J31+L31+M31+N31</f>
        <v>20278</v>
      </c>
      <c r="P31" s="173">
        <f>O31-I31</f>
        <v>706</v>
      </c>
      <c r="Q31" s="138">
        <f>P31/I31</f>
        <v>0.0360719395054159</v>
      </c>
    </row>
    <row r="32" spans="1:17" ht="13.5" thickBot="1">
      <c r="A32" s="100"/>
      <c r="B32" s="101"/>
      <c r="C32" s="101" t="s">
        <v>24</v>
      </c>
      <c r="D32" s="173">
        <v>6920</v>
      </c>
      <c r="E32" s="170"/>
      <c r="F32" s="170">
        <v>765</v>
      </c>
      <c r="G32" s="170">
        <v>8910</v>
      </c>
      <c r="H32" s="87">
        <v>3321</v>
      </c>
      <c r="I32" s="103">
        <v>19916</v>
      </c>
      <c r="J32" s="173">
        <v>7164</v>
      </c>
      <c r="K32" s="170"/>
      <c r="L32" s="170">
        <v>1009</v>
      </c>
      <c r="M32" s="170">
        <v>9072</v>
      </c>
      <c r="N32" s="87">
        <f>6786/2</f>
        <v>3393</v>
      </c>
      <c r="O32" s="103">
        <f>J32+L32+M32+N32</f>
        <v>20638</v>
      </c>
      <c r="P32" s="173">
        <f>O32-I32</f>
        <v>722</v>
      </c>
      <c r="Q32" s="138">
        <f>P32/I32</f>
        <v>0.0362522594898574</v>
      </c>
    </row>
    <row r="33" spans="1:17" ht="16.5" thickBot="1">
      <c r="A33" s="158" t="s">
        <v>47</v>
      </c>
      <c r="B33" s="151"/>
      <c r="C33" s="151"/>
      <c r="D33" s="154"/>
      <c r="E33" s="155"/>
      <c r="F33" s="155"/>
      <c r="G33" s="155"/>
      <c r="H33" s="151"/>
      <c r="I33" s="156"/>
      <c r="J33" s="154"/>
      <c r="K33" s="155"/>
      <c r="L33" s="155"/>
      <c r="M33" s="155"/>
      <c r="N33" s="155"/>
      <c r="O33" s="156"/>
      <c r="P33" s="155"/>
      <c r="Q33" s="153"/>
    </row>
    <row r="34" spans="1:20" ht="12.75">
      <c r="A34" s="144"/>
      <c r="B34" s="145" t="s">
        <v>1</v>
      </c>
      <c r="C34" s="182"/>
      <c r="D34" s="147"/>
      <c r="E34" s="147"/>
      <c r="F34" s="147"/>
      <c r="G34" s="147"/>
      <c r="H34" s="145"/>
      <c r="I34" s="186"/>
      <c r="J34" s="146"/>
      <c r="K34" s="147"/>
      <c r="L34" s="147"/>
      <c r="M34" s="147"/>
      <c r="N34" s="147"/>
      <c r="O34" s="148"/>
      <c r="P34" s="146"/>
      <c r="Q34" s="102"/>
      <c r="S34" s="18"/>
      <c r="T34" s="18"/>
    </row>
    <row r="35" spans="1:20" ht="12.75">
      <c r="A35" s="100"/>
      <c r="B35" s="101"/>
      <c r="C35" s="183" t="s">
        <v>15</v>
      </c>
      <c r="D35" s="170">
        <v>3384</v>
      </c>
      <c r="E35" s="170"/>
      <c r="F35" s="170">
        <v>662.86</v>
      </c>
      <c r="G35" s="89">
        <v>10590</v>
      </c>
      <c r="H35" s="87">
        <v>3321</v>
      </c>
      <c r="I35" s="165">
        <v>17957.86</v>
      </c>
      <c r="J35" s="173">
        <v>3504</v>
      </c>
      <c r="K35" s="170"/>
      <c r="L35" s="170">
        <v>706.82</v>
      </c>
      <c r="M35" s="89">
        <v>10940</v>
      </c>
      <c r="N35" s="87">
        <f>6786/2</f>
        <v>3393</v>
      </c>
      <c r="O35" s="103">
        <f aca="true" t="shared" si="5" ref="O35:O46">J35+L35+M35+N35</f>
        <v>18543.82</v>
      </c>
      <c r="P35" s="173">
        <f aca="true" t="shared" si="6" ref="P35:P46">O35-I35</f>
        <v>585.9599999999991</v>
      </c>
      <c r="Q35" s="138">
        <f aca="true" t="shared" si="7" ref="Q35:Q46">P35/I35</f>
        <v>0.03262972314073053</v>
      </c>
      <c r="R35" s="19"/>
      <c r="S35" s="10"/>
      <c r="T35" s="11"/>
    </row>
    <row r="36" spans="1:20" ht="12.75">
      <c r="A36" s="100"/>
      <c r="B36" s="101"/>
      <c r="C36" s="183" t="s">
        <v>36</v>
      </c>
      <c r="D36" s="165">
        <v>3639</v>
      </c>
      <c r="E36" s="170"/>
      <c r="F36" s="172">
        <v>662.86</v>
      </c>
      <c r="G36" s="139">
        <v>10590</v>
      </c>
      <c r="H36" s="87">
        <v>3321</v>
      </c>
      <c r="I36" s="187">
        <v>18212.86</v>
      </c>
      <c r="J36" s="45">
        <v>3768</v>
      </c>
      <c r="K36" s="172"/>
      <c r="L36" s="172">
        <v>706.82</v>
      </c>
      <c r="M36" s="139">
        <v>10940</v>
      </c>
      <c r="N36" s="91">
        <f>6786/2</f>
        <v>3393</v>
      </c>
      <c r="O36" s="104">
        <f t="shared" si="5"/>
        <v>18807.82</v>
      </c>
      <c r="P36" s="175">
        <f t="shared" si="6"/>
        <v>594.9599999999991</v>
      </c>
      <c r="Q36" s="140">
        <f t="shared" si="7"/>
        <v>0.032667027583806116</v>
      </c>
      <c r="R36" s="19"/>
      <c r="S36" s="27"/>
      <c r="T36" s="11"/>
    </row>
    <row r="37" spans="1:18" ht="12.75">
      <c r="A37" s="105"/>
      <c r="B37" s="106" t="s">
        <v>4</v>
      </c>
      <c r="C37" s="184"/>
      <c r="D37" s="142"/>
      <c r="E37" s="142"/>
      <c r="F37" s="170"/>
      <c r="G37" s="92"/>
      <c r="H37" s="115"/>
      <c r="I37" s="165"/>
      <c r="J37" s="173"/>
      <c r="K37" s="170"/>
      <c r="L37" s="170"/>
      <c r="M37" s="92"/>
      <c r="N37" s="87"/>
      <c r="O37" s="103">
        <f t="shared" si="5"/>
        <v>0</v>
      </c>
      <c r="P37" s="173"/>
      <c r="Q37" s="138"/>
      <c r="R37" s="19"/>
    </row>
    <row r="38" spans="1:18" ht="12.75">
      <c r="A38" s="100"/>
      <c r="B38" s="101"/>
      <c r="C38" s="183" t="s">
        <v>9</v>
      </c>
      <c r="D38" s="170">
        <v>4302</v>
      </c>
      <c r="E38" s="170"/>
      <c r="F38" s="170">
        <v>662.86</v>
      </c>
      <c r="G38" s="170">
        <v>8910</v>
      </c>
      <c r="H38" s="87">
        <v>3321</v>
      </c>
      <c r="I38" s="165">
        <v>17195.86</v>
      </c>
      <c r="J38" s="173">
        <v>4388</v>
      </c>
      <c r="K38" s="170"/>
      <c r="L38" s="170">
        <v>706.82</v>
      </c>
      <c r="M38" s="170">
        <v>9072</v>
      </c>
      <c r="N38" s="87">
        <f aca="true" t="shared" si="8" ref="N38:N46">6786/2</f>
        <v>3393</v>
      </c>
      <c r="O38" s="103">
        <f t="shared" si="5"/>
        <v>17559.82</v>
      </c>
      <c r="P38" s="173">
        <f t="shared" si="6"/>
        <v>363.9599999999991</v>
      </c>
      <c r="Q38" s="138">
        <f t="shared" si="7"/>
        <v>0.02116555961725666</v>
      </c>
      <c r="R38" s="19"/>
    </row>
    <row r="39" spans="1:18" ht="12.75">
      <c r="A39" s="100"/>
      <c r="B39" s="101"/>
      <c r="C39" s="46" t="s">
        <v>10</v>
      </c>
      <c r="D39" s="170">
        <v>5187</v>
      </c>
      <c r="E39" s="170"/>
      <c r="F39" s="170">
        <v>662.86</v>
      </c>
      <c r="G39" s="170">
        <v>8910</v>
      </c>
      <c r="H39" s="87">
        <v>3321</v>
      </c>
      <c r="I39" s="165">
        <v>18080.86</v>
      </c>
      <c r="J39" s="173">
        <v>5290</v>
      </c>
      <c r="K39" s="170"/>
      <c r="L39" s="170">
        <v>706.82</v>
      </c>
      <c r="M39" s="170">
        <v>9072</v>
      </c>
      <c r="N39" s="87">
        <f t="shared" si="8"/>
        <v>3393</v>
      </c>
      <c r="O39" s="103">
        <f t="shared" si="5"/>
        <v>18461.82</v>
      </c>
      <c r="P39" s="173">
        <f t="shared" si="6"/>
        <v>380.9599999999991</v>
      </c>
      <c r="Q39" s="138">
        <f t="shared" si="7"/>
        <v>0.021069794246512563</v>
      </c>
      <c r="R39" s="19"/>
    </row>
    <row r="40" spans="1:18" ht="12.75">
      <c r="A40" s="100"/>
      <c r="B40" s="101"/>
      <c r="C40" s="46" t="s">
        <v>3</v>
      </c>
      <c r="D40" s="170">
        <v>5250</v>
      </c>
      <c r="E40" s="170"/>
      <c r="F40" s="170">
        <v>662.86</v>
      </c>
      <c r="G40" s="170">
        <v>8910</v>
      </c>
      <c r="H40" s="87">
        <v>3321</v>
      </c>
      <c r="I40" s="165">
        <v>18143.86</v>
      </c>
      <c r="J40" s="173">
        <v>5356</v>
      </c>
      <c r="K40" s="170"/>
      <c r="L40" s="170">
        <v>706.82</v>
      </c>
      <c r="M40" s="170">
        <v>9072</v>
      </c>
      <c r="N40" s="87">
        <f t="shared" si="8"/>
        <v>3393</v>
      </c>
      <c r="O40" s="103">
        <f t="shared" si="5"/>
        <v>18527.82</v>
      </c>
      <c r="P40" s="173">
        <f t="shared" si="6"/>
        <v>383.9599999999991</v>
      </c>
      <c r="Q40" s="138">
        <f t="shared" si="7"/>
        <v>0.021161979865364874</v>
      </c>
      <c r="R40" s="19"/>
    </row>
    <row r="41" spans="1:26" s="99" customFormat="1" ht="12.75">
      <c r="A41" s="100"/>
      <c r="B41" s="101"/>
      <c r="C41" s="46" t="s">
        <v>73</v>
      </c>
      <c r="D41" s="170">
        <v>3453</v>
      </c>
      <c r="E41" s="170"/>
      <c r="F41" s="170">
        <v>662.86</v>
      </c>
      <c r="G41" s="170">
        <v>8910</v>
      </c>
      <c r="H41" s="170">
        <v>3321</v>
      </c>
      <c r="I41" s="165">
        <f>D41+F41+G41+H41</f>
        <v>16346.86</v>
      </c>
      <c r="J41" s="173">
        <v>3522</v>
      </c>
      <c r="K41" s="170"/>
      <c r="L41" s="170">
        <v>706.82</v>
      </c>
      <c r="M41" s="170">
        <v>9073</v>
      </c>
      <c r="N41" s="170">
        <f t="shared" si="8"/>
        <v>3393</v>
      </c>
      <c r="O41" s="103">
        <f>J41+L41+M41+N41</f>
        <v>16694.82</v>
      </c>
      <c r="P41" s="173">
        <f>O41-I41</f>
        <v>347.9599999999991</v>
      </c>
      <c r="Q41" s="138">
        <f>P41/I41</f>
        <v>0.021286045148731874</v>
      </c>
      <c r="R41" s="19"/>
      <c r="S41" s="98"/>
      <c r="T41" s="98"/>
      <c r="U41" s="98"/>
      <c r="V41" s="98"/>
      <c r="W41" s="98"/>
      <c r="X41" s="98"/>
      <c r="Y41" s="98"/>
      <c r="Z41" s="98"/>
    </row>
    <row r="42" spans="1:18" ht="12.75">
      <c r="A42" s="100"/>
      <c r="B42" s="101"/>
      <c r="C42" s="183" t="s">
        <v>37</v>
      </c>
      <c r="D42" s="170">
        <v>5988</v>
      </c>
      <c r="E42" s="170"/>
      <c r="F42" s="170">
        <v>662.86</v>
      </c>
      <c r="G42" s="170">
        <v>8910</v>
      </c>
      <c r="H42" s="87">
        <v>3321</v>
      </c>
      <c r="I42" s="165">
        <f>D42+F42+G42+H42</f>
        <v>18881.86</v>
      </c>
      <c r="J42" s="173">
        <v>6108</v>
      </c>
      <c r="K42" s="170"/>
      <c r="L42" s="170">
        <v>706.82</v>
      </c>
      <c r="M42" s="170">
        <v>9072</v>
      </c>
      <c r="N42" s="87">
        <f t="shared" si="8"/>
        <v>3393</v>
      </c>
      <c r="O42" s="103">
        <f t="shared" si="5"/>
        <v>19279.82</v>
      </c>
      <c r="P42" s="173">
        <f t="shared" si="6"/>
        <v>397.9599999999991</v>
      </c>
      <c r="Q42" s="138">
        <f t="shared" si="7"/>
        <v>0.02107631345640732</v>
      </c>
      <c r="R42" s="19"/>
    </row>
    <row r="43" spans="1:18" ht="12.75">
      <c r="A43" s="100"/>
      <c r="B43" s="101"/>
      <c r="C43" s="183" t="s">
        <v>11</v>
      </c>
      <c r="D43" s="170">
        <v>5250</v>
      </c>
      <c r="E43" s="170"/>
      <c r="F43" s="170">
        <v>662.86</v>
      </c>
      <c r="G43" s="170">
        <v>8910</v>
      </c>
      <c r="H43" s="87">
        <v>3321</v>
      </c>
      <c r="I43" s="165">
        <f>D43+F43+G43+H43</f>
        <v>18143.86</v>
      </c>
      <c r="J43" s="173">
        <v>5356</v>
      </c>
      <c r="K43" s="170"/>
      <c r="L43" s="170">
        <v>706.82</v>
      </c>
      <c r="M43" s="170">
        <v>9072</v>
      </c>
      <c r="N43" s="87">
        <f t="shared" si="8"/>
        <v>3393</v>
      </c>
      <c r="O43" s="103">
        <f t="shared" si="5"/>
        <v>18527.82</v>
      </c>
      <c r="P43" s="173">
        <f t="shared" si="6"/>
        <v>383.9599999999991</v>
      </c>
      <c r="Q43" s="138">
        <f t="shared" si="7"/>
        <v>0.021161979865364874</v>
      </c>
      <c r="R43" s="19"/>
    </row>
    <row r="44" spans="1:18" ht="12.75">
      <c r="A44" s="100"/>
      <c r="B44" s="101"/>
      <c r="C44" s="183" t="s">
        <v>8</v>
      </c>
      <c r="D44" s="170">
        <v>4230</v>
      </c>
      <c r="E44" s="170"/>
      <c r="F44" s="170">
        <v>662.86</v>
      </c>
      <c r="G44" s="170">
        <v>8910</v>
      </c>
      <c r="H44" s="87">
        <v>3321</v>
      </c>
      <c r="I44" s="165">
        <f>D44+F44+G44+H44</f>
        <v>17123.86</v>
      </c>
      <c r="J44" s="173">
        <v>4314</v>
      </c>
      <c r="K44" s="170"/>
      <c r="L44" s="170">
        <v>706.82</v>
      </c>
      <c r="M44" s="170">
        <v>9072</v>
      </c>
      <c r="N44" s="87">
        <f t="shared" si="8"/>
        <v>3393</v>
      </c>
      <c r="O44" s="103">
        <f t="shared" si="5"/>
        <v>17485.82</v>
      </c>
      <c r="P44" s="173">
        <f t="shared" si="6"/>
        <v>361.9599999999991</v>
      </c>
      <c r="Q44" s="138">
        <f t="shared" si="7"/>
        <v>0.02113775749159355</v>
      </c>
      <c r="R44" s="19"/>
    </row>
    <row r="45" spans="1:26" s="99" customFormat="1" ht="12.75">
      <c r="A45" s="100"/>
      <c r="B45" s="101"/>
      <c r="C45" s="46" t="s">
        <v>74</v>
      </c>
      <c r="D45" s="116" t="s">
        <v>55</v>
      </c>
      <c r="E45" s="116"/>
      <c r="F45" s="116" t="s">
        <v>55</v>
      </c>
      <c r="G45" s="116" t="s">
        <v>55</v>
      </c>
      <c r="H45" s="116" t="s">
        <v>55</v>
      </c>
      <c r="I45" s="116" t="s">
        <v>55</v>
      </c>
      <c r="J45" s="173">
        <v>9420</v>
      </c>
      <c r="K45" s="170"/>
      <c r="L45" s="170">
        <v>706.82</v>
      </c>
      <c r="M45" s="170">
        <v>9073</v>
      </c>
      <c r="N45" s="170">
        <f t="shared" si="8"/>
        <v>3393</v>
      </c>
      <c r="O45" s="103">
        <f>J45+L45+M45+N45</f>
        <v>22592.82</v>
      </c>
      <c r="P45" s="167" t="s">
        <v>55</v>
      </c>
      <c r="Q45" s="168" t="s">
        <v>55</v>
      </c>
      <c r="R45" s="19"/>
      <c r="S45" s="98"/>
      <c r="T45" s="98"/>
      <c r="U45" s="98"/>
      <c r="V45" s="98"/>
      <c r="W45" s="98"/>
      <c r="X45" s="98"/>
      <c r="Y45" s="98"/>
      <c r="Z45" s="98"/>
    </row>
    <row r="46" spans="1:18" ht="13.5" thickBot="1">
      <c r="A46" s="109"/>
      <c r="B46" s="110"/>
      <c r="C46" s="185" t="s">
        <v>33</v>
      </c>
      <c r="D46" s="171">
        <v>6012</v>
      </c>
      <c r="E46" s="171"/>
      <c r="F46" s="171">
        <v>662.86</v>
      </c>
      <c r="G46" s="171">
        <v>8910</v>
      </c>
      <c r="H46" s="95">
        <v>3321</v>
      </c>
      <c r="I46" s="179">
        <v>18905.86</v>
      </c>
      <c r="J46" s="174">
        <v>6132</v>
      </c>
      <c r="K46" s="171"/>
      <c r="L46" s="171">
        <v>706.82</v>
      </c>
      <c r="M46" s="171">
        <v>9072</v>
      </c>
      <c r="N46" s="95">
        <f t="shared" si="8"/>
        <v>3393</v>
      </c>
      <c r="O46" s="112">
        <f t="shared" si="5"/>
        <v>19303.82</v>
      </c>
      <c r="P46" s="174">
        <f t="shared" si="6"/>
        <v>397.9599999999991</v>
      </c>
      <c r="Q46" s="141">
        <f t="shared" si="7"/>
        <v>0.021049558179315784</v>
      </c>
      <c r="R46" s="19"/>
    </row>
    <row r="47" spans="1:17" ht="19.5" thickBot="1">
      <c r="A47" s="158" t="s">
        <v>83</v>
      </c>
      <c r="B47" s="151"/>
      <c r="C47" s="151"/>
      <c r="D47" s="151"/>
      <c r="E47" s="151"/>
      <c r="F47" s="151"/>
      <c r="G47" s="151"/>
      <c r="H47" s="151"/>
      <c r="I47" s="155"/>
      <c r="J47" s="155"/>
      <c r="K47" s="155"/>
      <c r="L47" s="155"/>
      <c r="M47" s="155"/>
      <c r="N47" s="155"/>
      <c r="O47" s="155"/>
      <c r="P47" s="155"/>
      <c r="Q47" s="153"/>
    </row>
    <row r="48" spans="1:17" ht="12.75">
      <c r="A48" s="100"/>
      <c r="B48" s="101" t="s">
        <v>1</v>
      </c>
      <c r="C48" s="101"/>
      <c r="D48" s="100"/>
      <c r="E48" s="101"/>
      <c r="F48" s="101"/>
      <c r="G48" s="101"/>
      <c r="H48" s="101"/>
      <c r="I48" s="88"/>
      <c r="J48" s="68"/>
      <c r="K48" s="107"/>
      <c r="L48" s="107"/>
      <c r="M48" s="107"/>
      <c r="N48" s="170"/>
      <c r="O48" s="138"/>
      <c r="P48" s="107"/>
      <c r="Q48" s="181"/>
    </row>
    <row r="49" spans="1:17" ht="12.75">
      <c r="A49" s="100"/>
      <c r="B49" s="101"/>
      <c r="C49" s="101" t="s">
        <v>14</v>
      </c>
      <c r="D49" s="113">
        <v>4320</v>
      </c>
      <c r="E49" s="116"/>
      <c r="F49" s="170">
        <v>266.7</v>
      </c>
      <c r="G49" s="92">
        <v>8910</v>
      </c>
      <c r="H49" s="87">
        <v>3321</v>
      </c>
      <c r="I49" s="117">
        <v>16817.7</v>
      </c>
      <c r="J49" s="173">
        <v>4578</v>
      </c>
      <c r="K49" s="170"/>
      <c r="L49" s="170">
        <v>276.7</v>
      </c>
      <c r="M49" s="170">
        <v>9072</v>
      </c>
      <c r="N49" s="87">
        <f>6786/2</f>
        <v>3393</v>
      </c>
      <c r="O49" s="103">
        <f aca="true" t="shared" si="9" ref="O49:O63">J49+L49+M49+N49</f>
        <v>17319.7</v>
      </c>
      <c r="P49" s="170">
        <f aca="true" t="shared" si="10" ref="P49:P63">O49-I49</f>
        <v>502</v>
      </c>
      <c r="Q49" s="138">
        <f aca="true" t="shared" si="11" ref="Q49:Q63">P49/I49</f>
        <v>0.02984950379659525</v>
      </c>
    </row>
    <row r="50" spans="1:17" ht="12.75">
      <c r="A50" s="100"/>
      <c r="B50" s="101"/>
      <c r="C50" s="133" t="s">
        <v>56</v>
      </c>
      <c r="D50" s="113">
        <v>4200</v>
      </c>
      <c r="E50" s="116"/>
      <c r="F50" s="172">
        <v>266.7</v>
      </c>
      <c r="G50" s="92">
        <v>8910</v>
      </c>
      <c r="H50" s="87">
        <v>3321</v>
      </c>
      <c r="I50" s="117">
        <v>16697.7</v>
      </c>
      <c r="J50" s="175">
        <v>4416</v>
      </c>
      <c r="K50" s="172"/>
      <c r="L50" s="172">
        <v>276.7</v>
      </c>
      <c r="M50" s="172">
        <v>9072</v>
      </c>
      <c r="N50" s="91">
        <f>6786/2</f>
        <v>3393</v>
      </c>
      <c r="O50" s="104">
        <f t="shared" si="9"/>
        <v>17157.7</v>
      </c>
      <c r="P50" s="172">
        <f t="shared" si="10"/>
        <v>460</v>
      </c>
      <c r="Q50" s="140">
        <f t="shared" si="11"/>
        <v>0.027548704312569994</v>
      </c>
    </row>
    <row r="51" spans="1:17" ht="12.75">
      <c r="A51" s="105"/>
      <c r="B51" s="106" t="s">
        <v>4</v>
      </c>
      <c r="C51" s="106"/>
      <c r="D51" s="118"/>
      <c r="E51" s="119"/>
      <c r="F51" s="170"/>
      <c r="G51" s="115"/>
      <c r="H51" s="115"/>
      <c r="I51" s="120"/>
      <c r="J51" s="173"/>
      <c r="K51" s="170"/>
      <c r="L51" s="170"/>
      <c r="M51" s="170"/>
      <c r="N51" s="170"/>
      <c r="O51" s="103">
        <f t="shared" si="9"/>
        <v>0</v>
      </c>
      <c r="P51" s="170"/>
      <c r="Q51" s="138"/>
    </row>
    <row r="52" spans="1:19" ht="12.75">
      <c r="A52" s="100"/>
      <c r="B52" s="101"/>
      <c r="C52" s="101" t="s">
        <v>57</v>
      </c>
      <c r="D52" s="113">
        <v>4284</v>
      </c>
      <c r="E52" s="116"/>
      <c r="F52" s="170">
        <v>266.7</v>
      </c>
      <c r="G52" s="92">
        <v>8910</v>
      </c>
      <c r="H52" s="87">
        <v>3321</v>
      </c>
      <c r="I52" s="117">
        <v>16781.7</v>
      </c>
      <c r="J52" s="173">
        <v>4284</v>
      </c>
      <c r="K52" s="170"/>
      <c r="L52" s="170">
        <v>276.7</v>
      </c>
      <c r="M52" s="170">
        <v>9072</v>
      </c>
      <c r="N52" s="87">
        <f aca="true" t="shared" si="12" ref="N52:N63">6786/2</f>
        <v>3393</v>
      </c>
      <c r="O52" s="103">
        <f t="shared" si="9"/>
        <v>17025.7</v>
      </c>
      <c r="P52" s="170">
        <f t="shared" si="10"/>
        <v>244</v>
      </c>
      <c r="Q52" s="138">
        <f t="shared" si="11"/>
        <v>0.014539647353962947</v>
      </c>
      <c r="S52" s="22"/>
    </row>
    <row r="53" spans="1:19" ht="12.75">
      <c r="A53" s="100"/>
      <c r="B53" s="101"/>
      <c r="C53" s="101" t="s">
        <v>34</v>
      </c>
      <c r="D53" s="113">
        <v>2232</v>
      </c>
      <c r="E53" s="116"/>
      <c r="F53" s="170">
        <v>266.7</v>
      </c>
      <c r="G53" s="92">
        <v>8910</v>
      </c>
      <c r="H53" s="87">
        <v>3321</v>
      </c>
      <c r="I53" s="117">
        <v>14729.7</v>
      </c>
      <c r="J53" s="173">
        <v>3036</v>
      </c>
      <c r="K53" s="170"/>
      <c r="L53" s="170">
        <v>276.7</v>
      </c>
      <c r="M53" s="170">
        <v>9072</v>
      </c>
      <c r="N53" s="87">
        <f t="shared" si="12"/>
        <v>3393</v>
      </c>
      <c r="O53" s="103">
        <f t="shared" si="9"/>
        <v>15777.7</v>
      </c>
      <c r="P53" s="170">
        <f t="shared" si="10"/>
        <v>1048</v>
      </c>
      <c r="Q53" s="138">
        <f t="shared" si="11"/>
        <v>0.07114876745622789</v>
      </c>
      <c r="S53" s="22"/>
    </row>
    <row r="54" spans="1:19" ht="12.75">
      <c r="A54" s="100"/>
      <c r="B54" s="101"/>
      <c r="C54" s="101" t="s">
        <v>49</v>
      </c>
      <c r="D54" s="113">
        <v>8088</v>
      </c>
      <c r="E54" s="116"/>
      <c r="F54" s="170">
        <v>266.7</v>
      </c>
      <c r="G54" s="92">
        <v>8910</v>
      </c>
      <c r="H54" s="87">
        <v>3321</v>
      </c>
      <c r="I54" s="117">
        <v>20585.7</v>
      </c>
      <c r="J54" s="173">
        <v>8496</v>
      </c>
      <c r="K54" s="170"/>
      <c r="L54" s="170">
        <v>276.7</v>
      </c>
      <c r="M54" s="170">
        <v>9072</v>
      </c>
      <c r="N54" s="87">
        <f t="shared" si="12"/>
        <v>3393</v>
      </c>
      <c r="O54" s="103">
        <f t="shared" si="9"/>
        <v>21237.7</v>
      </c>
      <c r="P54" s="170">
        <f t="shared" si="10"/>
        <v>652</v>
      </c>
      <c r="Q54" s="138">
        <f t="shared" si="11"/>
        <v>0.0316724716672253</v>
      </c>
      <c r="S54" s="22"/>
    </row>
    <row r="55" spans="1:19" ht="12.75">
      <c r="A55" s="100"/>
      <c r="B55" s="101"/>
      <c r="C55" s="101" t="s">
        <v>50</v>
      </c>
      <c r="D55" s="113">
        <v>5052</v>
      </c>
      <c r="E55" s="116"/>
      <c r="F55" s="170">
        <v>266.7</v>
      </c>
      <c r="G55" s="92">
        <v>8910</v>
      </c>
      <c r="H55" s="87">
        <v>3321</v>
      </c>
      <c r="I55" s="117">
        <v>17549.7</v>
      </c>
      <c r="J55" s="173">
        <v>5304</v>
      </c>
      <c r="K55" s="170"/>
      <c r="L55" s="170">
        <v>276.7</v>
      </c>
      <c r="M55" s="170">
        <v>9072</v>
      </c>
      <c r="N55" s="87">
        <f t="shared" si="12"/>
        <v>3393</v>
      </c>
      <c r="O55" s="103">
        <f t="shared" si="9"/>
        <v>18045.7</v>
      </c>
      <c r="P55" s="170">
        <f t="shared" si="10"/>
        <v>496</v>
      </c>
      <c r="Q55" s="138">
        <f t="shared" si="11"/>
        <v>0.028262591383328487</v>
      </c>
      <c r="S55" s="22"/>
    </row>
    <row r="56" spans="1:19" ht="12.75">
      <c r="A56" s="100"/>
      <c r="B56" s="101"/>
      <c r="C56" s="107" t="s">
        <v>61</v>
      </c>
      <c r="D56" s="113">
        <v>5052</v>
      </c>
      <c r="E56" s="116"/>
      <c r="F56" s="170">
        <v>266.7</v>
      </c>
      <c r="G56" s="92">
        <v>8910</v>
      </c>
      <c r="H56" s="87">
        <v>3321</v>
      </c>
      <c r="I56" s="117">
        <v>17549.7</v>
      </c>
      <c r="J56" s="173">
        <v>5304</v>
      </c>
      <c r="K56" s="170"/>
      <c r="L56" s="170">
        <v>276.7</v>
      </c>
      <c r="M56" s="170">
        <v>9072</v>
      </c>
      <c r="N56" s="87">
        <f t="shared" si="12"/>
        <v>3393</v>
      </c>
      <c r="O56" s="103">
        <f t="shared" si="9"/>
        <v>18045.7</v>
      </c>
      <c r="P56" s="170">
        <f t="shared" si="10"/>
        <v>496</v>
      </c>
      <c r="Q56" s="138">
        <f t="shared" si="11"/>
        <v>0.028262591383328487</v>
      </c>
      <c r="S56" s="22"/>
    </row>
    <row r="57" spans="1:19" ht="12.75">
      <c r="A57" s="100"/>
      <c r="B57" s="101"/>
      <c r="C57" s="107" t="s">
        <v>62</v>
      </c>
      <c r="D57" s="113">
        <v>5316</v>
      </c>
      <c r="E57" s="116"/>
      <c r="F57" s="170">
        <v>266.7</v>
      </c>
      <c r="G57" s="89">
        <v>8910</v>
      </c>
      <c r="H57" s="87">
        <v>3321</v>
      </c>
      <c r="I57" s="117">
        <v>17813.7</v>
      </c>
      <c r="J57" s="173">
        <v>5796</v>
      </c>
      <c r="K57" s="170"/>
      <c r="L57" s="170">
        <v>276.7</v>
      </c>
      <c r="M57" s="170">
        <v>9072</v>
      </c>
      <c r="N57" s="87">
        <f t="shared" si="12"/>
        <v>3393</v>
      </c>
      <c r="O57" s="103">
        <f t="shared" si="9"/>
        <v>18537.7</v>
      </c>
      <c r="P57" s="170">
        <f t="shared" si="10"/>
        <v>724</v>
      </c>
      <c r="Q57" s="138">
        <f t="shared" si="11"/>
        <v>0.04064287598870532</v>
      </c>
      <c r="S57" s="22"/>
    </row>
    <row r="58" spans="1:19" ht="12.75">
      <c r="A58" s="100"/>
      <c r="B58" s="101"/>
      <c r="C58" s="101" t="s">
        <v>30</v>
      </c>
      <c r="D58" s="113">
        <v>6678</v>
      </c>
      <c r="E58" s="116"/>
      <c r="F58" s="170">
        <v>266.7</v>
      </c>
      <c r="G58" s="92">
        <v>8910</v>
      </c>
      <c r="H58" s="87">
        <v>3321</v>
      </c>
      <c r="I58" s="117">
        <v>19175.7</v>
      </c>
      <c r="J58" s="173">
        <v>6678</v>
      </c>
      <c r="K58" s="170"/>
      <c r="L58" s="170">
        <v>276.7</v>
      </c>
      <c r="M58" s="170">
        <v>9072</v>
      </c>
      <c r="N58" s="87">
        <f t="shared" si="12"/>
        <v>3393</v>
      </c>
      <c r="O58" s="103">
        <f t="shared" si="9"/>
        <v>19419.7</v>
      </c>
      <c r="P58" s="170">
        <f t="shared" si="10"/>
        <v>244</v>
      </c>
      <c r="Q58" s="138">
        <f t="shared" si="11"/>
        <v>0.012724437699797139</v>
      </c>
      <c r="S58" s="22"/>
    </row>
    <row r="59" spans="1:19" ht="12.75">
      <c r="A59" s="100"/>
      <c r="B59" s="101"/>
      <c r="C59" s="101" t="s">
        <v>63</v>
      </c>
      <c r="D59" s="113">
        <v>7560</v>
      </c>
      <c r="E59" s="116"/>
      <c r="F59" s="170">
        <v>266.7</v>
      </c>
      <c r="G59" s="92">
        <v>8910</v>
      </c>
      <c r="H59" s="87">
        <v>3321</v>
      </c>
      <c r="I59" s="117">
        <v>20057.7</v>
      </c>
      <c r="J59" s="173">
        <v>7860</v>
      </c>
      <c r="K59" s="170"/>
      <c r="L59" s="170">
        <v>276.7</v>
      </c>
      <c r="M59" s="170">
        <v>9072</v>
      </c>
      <c r="N59" s="87">
        <f t="shared" si="12"/>
        <v>3393</v>
      </c>
      <c r="O59" s="103">
        <f t="shared" si="9"/>
        <v>20601.7</v>
      </c>
      <c r="P59" s="170">
        <f t="shared" si="10"/>
        <v>544</v>
      </c>
      <c r="Q59" s="138">
        <f t="shared" si="11"/>
        <v>0.027121753740458776</v>
      </c>
      <c r="S59" s="22"/>
    </row>
    <row r="60" spans="1:19" ht="12.75">
      <c r="A60" s="100"/>
      <c r="B60" s="101"/>
      <c r="C60" s="101" t="s">
        <v>75</v>
      </c>
      <c r="D60" s="113">
        <v>5640</v>
      </c>
      <c r="E60" s="116"/>
      <c r="F60" s="170">
        <v>266.7</v>
      </c>
      <c r="G60" s="92">
        <v>8910</v>
      </c>
      <c r="H60" s="87">
        <v>3321</v>
      </c>
      <c r="I60" s="117">
        <v>18137.7</v>
      </c>
      <c r="J60" s="173">
        <v>5640</v>
      </c>
      <c r="K60" s="170"/>
      <c r="L60" s="170">
        <v>276.7</v>
      </c>
      <c r="M60" s="170">
        <v>9072</v>
      </c>
      <c r="N60" s="87">
        <f t="shared" si="12"/>
        <v>3393</v>
      </c>
      <c r="O60" s="103">
        <f t="shared" si="9"/>
        <v>18381.7</v>
      </c>
      <c r="P60" s="170">
        <f t="shared" si="10"/>
        <v>244</v>
      </c>
      <c r="Q60" s="138">
        <f t="shared" si="11"/>
        <v>0.013452642837846033</v>
      </c>
      <c r="S60" s="22"/>
    </row>
    <row r="61" spans="1:19" ht="12.75">
      <c r="A61" s="100"/>
      <c r="B61" s="101"/>
      <c r="C61" s="107" t="s">
        <v>51</v>
      </c>
      <c r="D61" s="113">
        <v>6240</v>
      </c>
      <c r="E61" s="116"/>
      <c r="F61" s="170">
        <v>266.7</v>
      </c>
      <c r="G61" s="92">
        <v>8910</v>
      </c>
      <c r="H61" s="87">
        <v>3321</v>
      </c>
      <c r="I61" s="117">
        <v>18737.7</v>
      </c>
      <c r="J61" s="173">
        <v>6720</v>
      </c>
      <c r="K61" s="170"/>
      <c r="L61" s="170">
        <v>276.7</v>
      </c>
      <c r="M61" s="170">
        <v>9072</v>
      </c>
      <c r="N61" s="87">
        <f t="shared" si="12"/>
        <v>3393</v>
      </c>
      <c r="O61" s="103">
        <f t="shared" si="9"/>
        <v>19461.7</v>
      </c>
      <c r="P61" s="170">
        <f t="shared" si="10"/>
        <v>724</v>
      </c>
      <c r="Q61" s="138">
        <f t="shared" si="11"/>
        <v>0.03863868030761513</v>
      </c>
      <c r="S61" s="22"/>
    </row>
    <row r="62" spans="1:19" ht="12.75">
      <c r="A62" s="100"/>
      <c r="B62" s="101"/>
      <c r="C62" s="107" t="s">
        <v>52</v>
      </c>
      <c r="D62" s="113">
        <v>6000</v>
      </c>
      <c r="E62" s="116"/>
      <c r="F62" s="170">
        <v>266.7</v>
      </c>
      <c r="G62" s="89">
        <v>8910</v>
      </c>
      <c r="H62" s="87">
        <v>3321</v>
      </c>
      <c r="I62" s="117">
        <v>18497.7</v>
      </c>
      <c r="J62" s="173">
        <v>6300</v>
      </c>
      <c r="K62" s="170"/>
      <c r="L62" s="170">
        <v>276.7</v>
      </c>
      <c r="M62" s="170">
        <v>9072</v>
      </c>
      <c r="N62" s="87">
        <f t="shared" si="12"/>
        <v>3393</v>
      </c>
      <c r="O62" s="103">
        <f t="shared" si="9"/>
        <v>19041.7</v>
      </c>
      <c r="P62" s="170">
        <f t="shared" si="10"/>
        <v>544</v>
      </c>
      <c r="Q62" s="138">
        <f t="shared" si="11"/>
        <v>0.02940906166712618</v>
      </c>
      <c r="S62" s="22"/>
    </row>
    <row r="63" spans="1:17" ht="14.25">
      <c r="A63" s="100"/>
      <c r="B63" s="101"/>
      <c r="C63" s="107" t="s">
        <v>58</v>
      </c>
      <c r="D63" s="113">
        <v>1752</v>
      </c>
      <c r="E63" s="116"/>
      <c r="F63" s="172">
        <v>266.7</v>
      </c>
      <c r="G63" s="92">
        <v>8910</v>
      </c>
      <c r="H63" s="87">
        <v>3321</v>
      </c>
      <c r="I63" s="117">
        <v>14249.7</v>
      </c>
      <c r="J63" s="50">
        <v>1776</v>
      </c>
      <c r="K63" s="73"/>
      <c r="L63" s="73">
        <v>276.7</v>
      </c>
      <c r="M63" s="172">
        <v>9072</v>
      </c>
      <c r="N63" s="91">
        <f t="shared" si="12"/>
        <v>3393</v>
      </c>
      <c r="O63" s="104">
        <f t="shared" si="9"/>
        <v>14517.7</v>
      </c>
      <c r="P63" s="172">
        <f t="shared" si="10"/>
        <v>268</v>
      </c>
      <c r="Q63" s="140">
        <f t="shared" si="11"/>
        <v>0.018807413489406795</v>
      </c>
    </row>
    <row r="64" spans="1:17" ht="12.75">
      <c r="A64" s="105"/>
      <c r="B64" s="106" t="s">
        <v>12</v>
      </c>
      <c r="C64" s="106"/>
      <c r="D64" s="118"/>
      <c r="E64" s="121"/>
      <c r="F64" s="122"/>
      <c r="G64" s="122"/>
      <c r="H64" s="122"/>
      <c r="I64" s="123"/>
      <c r="J64" s="173"/>
      <c r="K64" s="170"/>
      <c r="L64" s="170"/>
      <c r="M64" s="170"/>
      <c r="N64" s="170"/>
      <c r="O64" s="103"/>
      <c r="P64" s="170"/>
      <c r="Q64" s="138"/>
    </row>
    <row r="65" spans="1:17" ht="12.75">
      <c r="A65" s="100"/>
      <c r="B65" s="101"/>
      <c r="C65" s="134" t="s">
        <v>43</v>
      </c>
      <c r="D65" s="150" t="s">
        <v>55</v>
      </c>
      <c r="E65" s="116"/>
      <c r="F65" s="124" t="s">
        <v>55</v>
      </c>
      <c r="G65" s="124" t="s">
        <v>55</v>
      </c>
      <c r="H65" s="124" t="s">
        <v>55</v>
      </c>
      <c r="I65" s="125" t="s">
        <v>55</v>
      </c>
      <c r="J65" s="150" t="s">
        <v>55</v>
      </c>
      <c r="K65" s="116"/>
      <c r="L65" s="124" t="s">
        <v>55</v>
      </c>
      <c r="M65" s="124" t="s">
        <v>55</v>
      </c>
      <c r="N65" s="124" t="s">
        <v>55</v>
      </c>
      <c r="O65" s="125" t="s">
        <v>55</v>
      </c>
      <c r="P65" s="124" t="s">
        <v>55</v>
      </c>
      <c r="Q65" s="125" t="s">
        <v>55</v>
      </c>
    </row>
    <row r="66" spans="1:17" ht="12.75">
      <c r="A66" s="100"/>
      <c r="B66" s="101"/>
      <c r="C66" s="134" t="s">
        <v>44</v>
      </c>
      <c r="D66" s="150" t="s">
        <v>55</v>
      </c>
      <c r="E66" s="116"/>
      <c r="F66" s="124" t="s">
        <v>55</v>
      </c>
      <c r="G66" s="124" t="s">
        <v>55</v>
      </c>
      <c r="H66" s="124" t="s">
        <v>55</v>
      </c>
      <c r="I66" s="125" t="s">
        <v>55</v>
      </c>
      <c r="J66" s="150" t="s">
        <v>55</v>
      </c>
      <c r="K66" s="116"/>
      <c r="L66" s="124" t="s">
        <v>55</v>
      </c>
      <c r="M66" s="124" t="s">
        <v>55</v>
      </c>
      <c r="N66" s="124" t="s">
        <v>55</v>
      </c>
      <c r="O66" s="125" t="s">
        <v>55</v>
      </c>
      <c r="P66" s="124" t="s">
        <v>55</v>
      </c>
      <c r="Q66" s="125" t="s">
        <v>55</v>
      </c>
    </row>
    <row r="67" spans="1:17" ht="12.75">
      <c r="A67" s="100"/>
      <c r="B67" s="101"/>
      <c r="C67" s="134" t="s">
        <v>45</v>
      </c>
      <c r="D67" s="150" t="s">
        <v>55</v>
      </c>
      <c r="E67" s="116"/>
      <c r="F67" s="124" t="s">
        <v>55</v>
      </c>
      <c r="G67" s="124" t="s">
        <v>55</v>
      </c>
      <c r="H67" s="124" t="s">
        <v>55</v>
      </c>
      <c r="I67" s="125" t="s">
        <v>55</v>
      </c>
      <c r="J67" s="150" t="s">
        <v>55</v>
      </c>
      <c r="K67" s="116"/>
      <c r="L67" s="124" t="s">
        <v>55</v>
      </c>
      <c r="M67" s="124" t="s">
        <v>55</v>
      </c>
      <c r="N67" s="124" t="s">
        <v>55</v>
      </c>
      <c r="O67" s="125" t="s">
        <v>55</v>
      </c>
      <c r="P67" s="124" t="s">
        <v>55</v>
      </c>
      <c r="Q67" s="125" t="s">
        <v>55</v>
      </c>
    </row>
    <row r="68" spans="1:17" ht="12.75">
      <c r="A68" s="100"/>
      <c r="B68" s="101"/>
      <c r="C68" s="134" t="s">
        <v>38</v>
      </c>
      <c r="D68" s="150" t="s">
        <v>55</v>
      </c>
      <c r="E68" s="116"/>
      <c r="F68" s="124" t="s">
        <v>55</v>
      </c>
      <c r="G68" s="124" t="s">
        <v>55</v>
      </c>
      <c r="H68" s="124" t="s">
        <v>55</v>
      </c>
      <c r="I68" s="125" t="s">
        <v>55</v>
      </c>
      <c r="J68" s="150" t="s">
        <v>55</v>
      </c>
      <c r="K68" s="116"/>
      <c r="L68" s="124" t="s">
        <v>55</v>
      </c>
      <c r="M68" s="124" t="s">
        <v>55</v>
      </c>
      <c r="N68" s="124" t="s">
        <v>55</v>
      </c>
      <c r="O68" s="125" t="s">
        <v>55</v>
      </c>
      <c r="P68" s="124" t="s">
        <v>55</v>
      </c>
      <c r="Q68" s="125" t="s">
        <v>55</v>
      </c>
    </row>
    <row r="69" spans="1:26" s="13" customFormat="1" ht="13.5" thickBot="1">
      <c r="A69" s="109"/>
      <c r="B69" s="110"/>
      <c r="C69" s="135" t="s">
        <v>46</v>
      </c>
      <c r="D69" s="149" t="s">
        <v>55</v>
      </c>
      <c r="E69" s="126"/>
      <c r="F69" s="127" t="s">
        <v>55</v>
      </c>
      <c r="G69" s="127" t="s">
        <v>55</v>
      </c>
      <c r="H69" s="127" t="s">
        <v>55</v>
      </c>
      <c r="I69" s="114" t="s">
        <v>55</v>
      </c>
      <c r="J69" s="149" t="s">
        <v>55</v>
      </c>
      <c r="K69" s="126"/>
      <c r="L69" s="127" t="s">
        <v>55</v>
      </c>
      <c r="M69" s="127" t="s">
        <v>55</v>
      </c>
      <c r="N69" s="127" t="s">
        <v>55</v>
      </c>
      <c r="O69" s="114" t="s">
        <v>55</v>
      </c>
      <c r="P69" s="127" t="s">
        <v>55</v>
      </c>
      <c r="Q69" s="114" t="s">
        <v>55</v>
      </c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7" customFormat="1" ht="12.75" customHeight="1">
      <c r="A70" s="82"/>
      <c r="B70" s="83" t="s">
        <v>26</v>
      </c>
      <c r="C70" s="82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4"/>
      <c r="R70" s="26"/>
      <c r="S70" s="26"/>
      <c r="T70" s="26"/>
      <c r="U70" s="26"/>
      <c r="V70" s="26"/>
      <c r="W70" s="26"/>
      <c r="X70" s="26"/>
      <c r="Y70" s="26"/>
      <c r="Z70" s="26"/>
    </row>
    <row r="71" spans="1:26" s="107" customFormat="1" ht="12.75" customHeight="1">
      <c r="A71" s="82"/>
      <c r="B71" s="83"/>
      <c r="C71" s="209" t="s">
        <v>66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5"/>
      <c r="R71" s="26"/>
      <c r="S71" s="26"/>
      <c r="T71" s="26"/>
      <c r="U71" s="26"/>
      <c r="V71" s="26"/>
      <c r="W71" s="26"/>
      <c r="X71" s="26"/>
      <c r="Y71" s="26"/>
      <c r="Z71" s="26"/>
    </row>
    <row r="72" spans="1:26" s="13" customFormat="1" ht="14.25" customHeight="1">
      <c r="A72" s="107"/>
      <c r="B72" s="107"/>
      <c r="C72" s="212" t="s">
        <v>76</v>
      </c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10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3" customFormat="1" ht="12.75">
      <c r="A73" s="107"/>
      <c r="B73" s="107"/>
      <c r="C73" s="212" t="s">
        <v>77</v>
      </c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10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3" customFormat="1" ht="12.75">
      <c r="A74" s="107"/>
      <c r="B74" s="107"/>
      <c r="C74" s="209" t="s">
        <v>78</v>
      </c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10"/>
      <c r="R74" s="12"/>
      <c r="S74" s="12"/>
      <c r="T74" s="12"/>
      <c r="U74" s="12"/>
      <c r="V74" s="12"/>
      <c r="W74" s="12"/>
      <c r="X74" s="12"/>
      <c r="Y74" s="12"/>
      <c r="Z74" s="12"/>
    </row>
    <row r="75" spans="1:17" ht="29.25" customHeight="1">
      <c r="A75" s="97"/>
      <c r="B75" s="97"/>
      <c r="C75" s="265" t="s">
        <v>60</v>
      </c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</row>
    <row r="76" spans="1:17" ht="12.75">
      <c r="A76" s="97"/>
      <c r="B76" s="97"/>
      <c r="C76" s="207" t="s">
        <v>27</v>
      </c>
      <c r="D76" s="207"/>
      <c r="E76" s="207"/>
      <c r="F76" s="207"/>
      <c r="G76" s="207"/>
      <c r="H76" s="207"/>
      <c r="I76" s="211"/>
      <c r="J76" s="207"/>
      <c r="K76" s="207"/>
      <c r="L76" s="207"/>
      <c r="M76" s="207"/>
      <c r="N76" s="207"/>
      <c r="O76" s="211"/>
      <c r="P76" s="207"/>
      <c r="Q76" s="211"/>
    </row>
    <row r="77" spans="1:17" ht="12.75">
      <c r="A77" s="78"/>
      <c r="B77" s="78"/>
      <c r="C77" s="207" t="s">
        <v>79</v>
      </c>
      <c r="D77" s="207"/>
      <c r="E77" s="207"/>
      <c r="F77" s="207"/>
      <c r="G77" s="207"/>
      <c r="H77" s="207"/>
      <c r="I77" s="211"/>
      <c r="J77" s="207"/>
      <c r="K77" s="207"/>
      <c r="L77" s="207"/>
      <c r="M77" s="207"/>
      <c r="N77" s="207"/>
      <c r="O77" s="211"/>
      <c r="P77" s="207"/>
      <c r="Q77" s="211"/>
    </row>
    <row r="78" spans="1:26" s="99" customFormat="1" ht="12.75">
      <c r="A78" s="78"/>
      <c r="B78" s="78"/>
      <c r="C78" s="209" t="s">
        <v>80</v>
      </c>
      <c r="D78" s="207"/>
      <c r="E78" s="207"/>
      <c r="F78" s="207"/>
      <c r="G78" s="207"/>
      <c r="H78" s="207"/>
      <c r="I78" s="211"/>
      <c r="J78" s="207"/>
      <c r="K78" s="207"/>
      <c r="L78" s="207"/>
      <c r="M78" s="207"/>
      <c r="N78" s="207"/>
      <c r="O78" s="211"/>
      <c r="P78" s="207"/>
      <c r="Q78" s="211"/>
      <c r="R78" s="98"/>
      <c r="S78" s="98"/>
      <c r="T78" s="98"/>
      <c r="U78" s="98"/>
      <c r="V78" s="98"/>
      <c r="W78" s="98"/>
      <c r="X78" s="98"/>
      <c r="Y78" s="98"/>
      <c r="Z78" s="98"/>
    </row>
    <row r="79" spans="3:17" ht="12.75">
      <c r="C79" s="208" t="s">
        <v>64</v>
      </c>
      <c r="D79" s="207"/>
      <c r="E79" s="207"/>
      <c r="F79" s="207"/>
      <c r="G79" s="207"/>
      <c r="H79" s="207"/>
      <c r="I79" s="211"/>
      <c r="J79" s="207"/>
      <c r="K79" s="207"/>
      <c r="L79" s="207"/>
      <c r="M79" s="207"/>
      <c r="N79" s="207"/>
      <c r="O79" s="211"/>
      <c r="P79" s="207"/>
      <c r="Q79" s="211"/>
    </row>
  </sheetData>
  <sheetProtection/>
  <mergeCells count="10">
    <mergeCell ref="A3:Q3"/>
    <mergeCell ref="J6:K6"/>
    <mergeCell ref="J7:K7"/>
    <mergeCell ref="D6:E6"/>
    <mergeCell ref="C75:Q75"/>
    <mergeCell ref="D5:I5"/>
    <mergeCell ref="J5:O5"/>
    <mergeCell ref="P5:Q5"/>
    <mergeCell ref="P4:Q4"/>
    <mergeCell ref="D7:E7"/>
  </mergeCells>
  <printOptions horizontalCentered="1"/>
  <pageMargins left="0.25" right="0.25" top="0.75" bottom="0.75" header="0.3" footer="0.3"/>
  <pageSetup fitToHeight="2" horizontalDpi="600" verticalDpi="600" orientation="landscape" scale="79" r:id="rId1"/>
  <rowBreaks count="1" manualBreakCount="1">
    <brk id="4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showGridLines="0" view="pageBreakPreview" zoomScaleNormal="75" zoomScaleSheetLayoutView="100" zoomScalePageLayoutView="0" workbookViewId="0" topLeftCell="A1">
      <selection activeCell="Q1" sqref="Q1"/>
    </sheetView>
  </sheetViews>
  <sheetFormatPr defaultColWidth="9.140625" defaultRowHeight="12.75"/>
  <cols>
    <col min="1" max="1" width="2.00390625" style="15" customWidth="1"/>
    <col min="2" max="2" width="2.28125" style="15" customWidth="1"/>
    <col min="3" max="3" width="34.8515625" style="15" customWidth="1"/>
    <col min="4" max="4" width="9.8515625" style="15" customWidth="1"/>
    <col min="5" max="5" width="1.7109375" style="15" customWidth="1"/>
    <col min="6" max="6" width="9.421875" style="15" bestFit="1" customWidth="1"/>
    <col min="7" max="8" width="8.8515625" style="15" customWidth="1"/>
    <col min="9" max="9" width="10.00390625" style="21" customWidth="1"/>
    <col min="10" max="10" width="9.421875" style="15" customWidth="1"/>
    <col min="11" max="11" width="1.8515625" style="15" customWidth="1"/>
    <col min="12" max="12" width="9.140625" style="15" bestFit="1" customWidth="1"/>
    <col min="13" max="13" width="10.00390625" style="15" customWidth="1"/>
    <col min="14" max="14" width="8.8515625" style="15" customWidth="1"/>
    <col min="15" max="15" width="8.8515625" style="21" customWidth="1"/>
    <col min="16" max="16" width="10.421875" style="15" customWidth="1"/>
    <col min="17" max="17" width="11.421875" style="21" bestFit="1" customWidth="1"/>
    <col min="18" max="22" width="8.8515625" style="14" customWidth="1"/>
    <col min="23" max="16384" width="9.140625" style="15" customWidth="1"/>
  </cols>
  <sheetData>
    <row r="1" spans="1:22" s="13" customFormat="1" ht="18">
      <c r="A1" s="231" t="s">
        <v>85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2"/>
      <c r="S1" s="12"/>
      <c r="T1" s="12"/>
      <c r="U1" s="12"/>
      <c r="V1" s="12"/>
    </row>
    <row r="2" spans="1:22" s="13" customFormat="1" ht="18">
      <c r="A2" s="255" t="s">
        <v>93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5"/>
      <c r="S2" s="12"/>
      <c r="T2" s="12"/>
      <c r="U2" s="12"/>
      <c r="V2" s="12"/>
    </row>
    <row r="3" spans="1:22" s="13" customFormat="1" ht="21" customHeight="1" thickBo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5"/>
      <c r="S3" s="12"/>
      <c r="T3" s="12"/>
      <c r="U3" s="12"/>
      <c r="V3" s="12"/>
    </row>
    <row r="4" spans="1:22" s="7" customFormat="1" ht="12.75">
      <c r="A4" s="250"/>
      <c r="B4" s="234"/>
      <c r="C4" s="234"/>
      <c r="D4" s="251"/>
      <c r="E4" s="236"/>
      <c r="F4" s="236"/>
      <c r="G4" s="236"/>
      <c r="H4" s="236"/>
      <c r="I4" s="237"/>
      <c r="J4" s="236"/>
      <c r="K4" s="236"/>
      <c r="L4" s="236"/>
      <c r="M4" s="236"/>
      <c r="N4" s="236"/>
      <c r="O4" s="237"/>
      <c r="P4" s="266" t="s">
        <v>0</v>
      </c>
      <c r="Q4" s="274"/>
      <c r="R4" s="6"/>
      <c r="S4" s="6"/>
      <c r="T4" s="6"/>
      <c r="U4" s="6"/>
      <c r="V4" s="6"/>
    </row>
    <row r="5" spans="1:22" s="7" customFormat="1" ht="13.5" thickBot="1">
      <c r="A5" s="252"/>
      <c r="B5" s="239"/>
      <c r="C5" s="239"/>
      <c r="D5" s="275" t="s">
        <v>65</v>
      </c>
      <c r="E5" s="272"/>
      <c r="F5" s="272"/>
      <c r="G5" s="272"/>
      <c r="H5" s="272"/>
      <c r="I5" s="273"/>
      <c r="J5" s="271" t="s">
        <v>67</v>
      </c>
      <c r="K5" s="272"/>
      <c r="L5" s="272"/>
      <c r="M5" s="272"/>
      <c r="N5" s="272"/>
      <c r="O5" s="273"/>
      <c r="P5" s="268" t="s">
        <v>20</v>
      </c>
      <c r="Q5" s="273"/>
      <c r="R5" s="6"/>
      <c r="S5" s="6"/>
      <c r="T5" s="6"/>
      <c r="U5" s="6"/>
      <c r="V5" s="6"/>
    </row>
    <row r="6" spans="1:22" s="7" customFormat="1" ht="12.75" customHeight="1">
      <c r="A6" s="252"/>
      <c r="B6" s="239"/>
      <c r="C6" s="239"/>
      <c r="D6" s="266" t="s">
        <v>59</v>
      </c>
      <c r="E6" s="267"/>
      <c r="F6" s="241" t="s">
        <v>59</v>
      </c>
      <c r="G6" s="241" t="s">
        <v>59</v>
      </c>
      <c r="H6" s="241" t="s">
        <v>59</v>
      </c>
      <c r="I6" s="242" t="s">
        <v>59</v>
      </c>
      <c r="J6" s="266" t="s">
        <v>88</v>
      </c>
      <c r="K6" s="267"/>
      <c r="L6" s="241" t="s">
        <v>68</v>
      </c>
      <c r="M6" s="241" t="s">
        <v>68</v>
      </c>
      <c r="N6" s="241" t="s">
        <v>68</v>
      </c>
      <c r="O6" s="242" t="s">
        <v>68</v>
      </c>
      <c r="P6" s="243" t="s">
        <v>16</v>
      </c>
      <c r="Q6" s="244" t="s">
        <v>17</v>
      </c>
      <c r="R6" s="6"/>
      <c r="S6" s="6"/>
      <c r="T6" s="6"/>
      <c r="U6" s="6"/>
      <c r="V6" s="6"/>
    </row>
    <row r="7" spans="1:22" s="7" customFormat="1" ht="15" thickBot="1">
      <c r="A7" s="253"/>
      <c r="B7" s="246"/>
      <c r="C7" s="246"/>
      <c r="D7" s="268" t="s">
        <v>19</v>
      </c>
      <c r="E7" s="269"/>
      <c r="F7" s="247" t="s">
        <v>89</v>
      </c>
      <c r="G7" s="247" t="s">
        <v>90</v>
      </c>
      <c r="H7" s="247" t="s">
        <v>91</v>
      </c>
      <c r="I7" s="248" t="s">
        <v>18</v>
      </c>
      <c r="J7" s="268" t="s">
        <v>19</v>
      </c>
      <c r="K7" s="269"/>
      <c r="L7" s="247" t="s">
        <v>89</v>
      </c>
      <c r="M7" s="247" t="s">
        <v>90</v>
      </c>
      <c r="N7" s="247" t="s">
        <v>91</v>
      </c>
      <c r="O7" s="248" t="s">
        <v>18</v>
      </c>
      <c r="P7" s="243" t="s">
        <v>0</v>
      </c>
      <c r="Q7" s="249" t="s">
        <v>0</v>
      </c>
      <c r="R7" s="6"/>
      <c r="S7" s="6"/>
      <c r="T7" s="6"/>
      <c r="U7" s="6"/>
      <c r="V7" s="6"/>
    </row>
    <row r="8" spans="1:17" ht="16.5" thickBot="1">
      <c r="A8" s="256" t="s">
        <v>13</v>
      </c>
      <c r="B8" s="257"/>
      <c r="C8" s="257"/>
      <c r="D8" s="258"/>
      <c r="E8" s="257"/>
      <c r="F8" s="257"/>
      <c r="G8" s="257"/>
      <c r="H8" s="257"/>
      <c r="I8" s="259"/>
      <c r="J8" s="258"/>
      <c r="K8" s="257"/>
      <c r="L8" s="257"/>
      <c r="M8" s="257"/>
      <c r="N8" s="257"/>
      <c r="O8" s="259"/>
      <c r="P8" s="258"/>
      <c r="Q8" s="259"/>
    </row>
    <row r="9" spans="1:17" ht="12.75">
      <c r="A9" s="30"/>
      <c r="B9" s="31" t="s">
        <v>35</v>
      </c>
      <c r="C9" s="31"/>
      <c r="D9" s="144"/>
      <c r="E9" s="145"/>
      <c r="F9" s="145"/>
      <c r="G9" s="145"/>
      <c r="H9" s="145"/>
      <c r="I9" s="102"/>
      <c r="J9" s="145"/>
      <c r="K9" s="145"/>
      <c r="L9" s="145"/>
      <c r="M9" s="145"/>
      <c r="N9" s="145"/>
      <c r="O9" s="102"/>
      <c r="P9" s="144"/>
      <c r="Q9" s="102"/>
    </row>
    <row r="10" spans="1:17" ht="14.25">
      <c r="A10" s="28"/>
      <c r="B10" s="29"/>
      <c r="C10" s="29" t="s">
        <v>29</v>
      </c>
      <c r="D10" s="36">
        <f>15264*2</f>
        <v>30528</v>
      </c>
      <c r="E10" s="85"/>
      <c r="F10" s="85">
        <v>1587</v>
      </c>
      <c r="G10" s="85">
        <v>12258</v>
      </c>
      <c r="H10" s="87">
        <v>6642</v>
      </c>
      <c r="I10" s="103">
        <f>D10+F10+G10+H10</f>
        <v>51015</v>
      </c>
      <c r="J10" s="164">
        <v>31410</v>
      </c>
      <c r="K10" s="43"/>
      <c r="L10" s="213">
        <v>1741</v>
      </c>
      <c r="M10" s="85">
        <v>12810</v>
      </c>
      <c r="N10" s="87">
        <v>6786</v>
      </c>
      <c r="O10" s="103">
        <f>J10+L10+M10+N10</f>
        <v>52747</v>
      </c>
      <c r="P10" s="86">
        <f>O10-I10</f>
        <v>1732</v>
      </c>
      <c r="Q10" s="138">
        <f>P10/I10</f>
        <v>0.03395079878467117</v>
      </c>
    </row>
    <row r="11" spans="1:17" ht="14.25">
      <c r="A11" s="28"/>
      <c r="B11" s="29"/>
      <c r="C11" s="29" t="s">
        <v>28</v>
      </c>
      <c r="D11" s="36">
        <f>15417*2</f>
        <v>30834</v>
      </c>
      <c r="E11" s="85"/>
      <c r="F11" s="85">
        <v>1587</v>
      </c>
      <c r="G11" s="85">
        <v>12258</v>
      </c>
      <c r="H11" s="87">
        <v>6642</v>
      </c>
      <c r="I11" s="103">
        <f>D11+F11+G11+H11</f>
        <v>51321</v>
      </c>
      <c r="J11" s="85">
        <v>31734</v>
      </c>
      <c r="K11" s="43"/>
      <c r="L11" s="213">
        <v>1741</v>
      </c>
      <c r="M11" s="85">
        <v>12810</v>
      </c>
      <c r="N11" s="87">
        <v>6786</v>
      </c>
      <c r="O11" s="103">
        <f aca="true" t="shared" si="0" ref="O11:O18">J11+L11+M11+N11</f>
        <v>53071</v>
      </c>
      <c r="P11" s="86">
        <f>O11-I11</f>
        <v>1750</v>
      </c>
      <c r="Q11" s="138">
        <f>P11/I11</f>
        <v>0.03409910173223437</v>
      </c>
    </row>
    <row r="12" spans="1:17" ht="14.25">
      <c r="A12" s="28"/>
      <c r="B12" s="29"/>
      <c r="C12" s="29" t="s">
        <v>3</v>
      </c>
      <c r="D12" s="36">
        <f>16551*2</f>
        <v>33102</v>
      </c>
      <c r="E12" s="85"/>
      <c r="F12" s="85">
        <v>1587</v>
      </c>
      <c r="G12" s="85">
        <v>12258</v>
      </c>
      <c r="H12" s="87">
        <v>6642</v>
      </c>
      <c r="I12" s="103">
        <f>D12+F12+G12+H12</f>
        <v>53589</v>
      </c>
      <c r="J12" s="164">
        <v>34056</v>
      </c>
      <c r="K12" s="43"/>
      <c r="L12" s="213">
        <v>1741</v>
      </c>
      <c r="M12" s="85">
        <v>12810</v>
      </c>
      <c r="N12" s="87">
        <v>6786</v>
      </c>
      <c r="O12" s="103">
        <f t="shared" si="0"/>
        <v>55393</v>
      </c>
      <c r="P12" s="86">
        <f>O12-I12</f>
        <v>1804</v>
      </c>
      <c r="Q12" s="138">
        <f>P12/I12</f>
        <v>0.03366362499766743</v>
      </c>
    </row>
    <row r="13" spans="1:18" ht="14.25">
      <c r="A13" s="34"/>
      <c r="B13" s="35"/>
      <c r="C13" s="35" t="s">
        <v>2</v>
      </c>
      <c r="D13" s="37">
        <f>16902*2</f>
        <v>33804</v>
      </c>
      <c r="E13" s="90"/>
      <c r="F13" s="90">
        <v>1587</v>
      </c>
      <c r="G13" s="90">
        <v>12258</v>
      </c>
      <c r="H13" s="91">
        <v>6642</v>
      </c>
      <c r="I13" s="104">
        <f>D13+F13+G13+H13</f>
        <v>54291</v>
      </c>
      <c r="J13" s="60">
        <v>34416</v>
      </c>
      <c r="K13" s="39"/>
      <c r="L13" s="214">
        <v>1741</v>
      </c>
      <c r="M13" s="90">
        <v>12810</v>
      </c>
      <c r="N13" s="91">
        <v>6786</v>
      </c>
      <c r="O13" s="104">
        <f t="shared" si="0"/>
        <v>55753</v>
      </c>
      <c r="P13" s="60">
        <f>O13-I13</f>
        <v>1462</v>
      </c>
      <c r="Q13" s="140">
        <f>P13/I13</f>
        <v>0.026928956917352784</v>
      </c>
      <c r="R13" s="16"/>
    </row>
    <row r="14" spans="1:22" s="99" customFormat="1" ht="14.25">
      <c r="A14" s="100"/>
      <c r="B14" s="101" t="s">
        <v>69</v>
      </c>
      <c r="C14" s="107"/>
      <c r="D14" s="36"/>
      <c r="E14" s="85"/>
      <c r="F14" s="85"/>
      <c r="G14" s="85"/>
      <c r="H14" s="87"/>
      <c r="I14" s="103"/>
      <c r="J14" s="164"/>
      <c r="K14" s="43"/>
      <c r="L14" s="213"/>
      <c r="M14" s="85"/>
      <c r="N14" s="87"/>
      <c r="O14" s="103"/>
      <c r="P14" s="86"/>
      <c r="Q14" s="138"/>
      <c r="R14" s="16"/>
      <c r="S14" s="98"/>
      <c r="T14" s="98"/>
      <c r="U14" s="98"/>
      <c r="V14" s="98"/>
    </row>
    <row r="15" spans="1:22" s="99" customFormat="1" ht="14.25">
      <c r="A15" s="100"/>
      <c r="B15" s="101"/>
      <c r="C15" s="101" t="s">
        <v>29</v>
      </c>
      <c r="D15" s="36">
        <f>15264*2</f>
        <v>30528</v>
      </c>
      <c r="E15" s="85"/>
      <c r="F15" s="85">
        <v>1587</v>
      </c>
      <c r="G15" s="85">
        <v>12258</v>
      </c>
      <c r="H15" s="87">
        <v>6642</v>
      </c>
      <c r="I15" s="103">
        <f>D15+F15+G15+H15</f>
        <v>51015</v>
      </c>
      <c r="J15" s="164">
        <v>32910</v>
      </c>
      <c r="K15" s="43"/>
      <c r="L15" s="213">
        <v>1741</v>
      </c>
      <c r="M15" s="85">
        <v>12810</v>
      </c>
      <c r="N15" s="87">
        <v>6786</v>
      </c>
      <c r="O15" s="103">
        <f t="shared" si="0"/>
        <v>54247</v>
      </c>
      <c r="P15" s="86">
        <f>O15-I15</f>
        <v>3232</v>
      </c>
      <c r="Q15" s="138">
        <f>P15/I15</f>
        <v>0.0633539155150446</v>
      </c>
      <c r="R15" s="16"/>
      <c r="S15" s="98"/>
      <c r="T15" s="98"/>
      <c r="U15" s="98"/>
      <c r="V15" s="98"/>
    </row>
    <row r="16" spans="1:22" s="99" customFormat="1" ht="14.25">
      <c r="A16" s="100"/>
      <c r="B16" s="101"/>
      <c r="C16" s="101" t="s">
        <v>28</v>
      </c>
      <c r="D16" s="36">
        <f>15417*2</f>
        <v>30834</v>
      </c>
      <c r="E16" s="85"/>
      <c r="F16" s="85">
        <v>1587</v>
      </c>
      <c r="G16" s="85">
        <v>12258</v>
      </c>
      <c r="H16" s="87">
        <v>6642</v>
      </c>
      <c r="I16" s="103">
        <f>D16+F16+G16+H16</f>
        <v>51321</v>
      </c>
      <c r="J16" s="164">
        <v>33234</v>
      </c>
      <c r="K16" s="43"/>
      <c r="L16" s="213">
        <v>1741</v>
      </c>
      <c r="M16" s="85">
        <v>12810</v>
      </c>
      <c r="N16" s="87">
        <v>6786</v>
      </c>
      <c r="O16" s="103">
        <f t="shared" si="0"/>
        <v>54571</v>
      </c>
      <c r="P16" s="86">
        <f>O16-I16</f>
        <v>3250</v>
      </c>
      <c r="Q16" s="138">
        <f>P16/I16</f>
        <v>0.06332690321700668</v>
      </c>
      <c r="R16" s="16"/>
      <c r="S16" s="98"/>
      <c r="T16" s="98"/>
      <c r="U16" s="98"/>
      <c r="V16" s="98"/>
    </row>
    <row r="17" spans="1:22" s="99" customFormat="1" ht="14.25">
      <c r="A17" s="100"/>
      <c r="B17" s="101"/>
      <c r="C17" s="101" t="s">
        <v>3</v>
      </c>
      <c r="D17" s="36">
        <f>16551*2</f>
        <v>33102</v>
      </c>
      <c r="E17" s="85"/>
      <c r="F17" s="85">
        <v>1587</v>
      </c>
      <c r="G17" s="85">
        <v>12258</v>
      </c>
      <c r="H17" s="87">
        <v>6642</v>
      </c>
      <c r="I17" s="103">
        <f>D17+F17+G17+H17</f>
        <v>53589</v>
      </c>
      <c r="J17" s="85">
        <v>35556</v>
      </c>
      <c r="K17" s="43"/>
      <c r="L17" s="213">
        <v>1741</v>
      </c>
      <c r="M17" s="85">
        <v>12810</v>
      </c>
      <c r="N17" s="87">
        <v>6786</v>
      </c>
      <c r="O17" s="103">
        <f t="shared" si="0"/>
        <v>56893</v>
      </c>
      <c r="P17" s="86">
        <f>O17-I17</f>
        <v>3304</v>
      </c>
      <c r="Q17" s="138">
        <f>P17/I17</f>
        <v>0.0616544440090317</v>
      </c>
      <c r="R17" s="16"/>
      <c r="S17" s="98"/>
      <c r="T17" s="98"/>
      <c r="U17" s="98"/>
      <c r="V17" s="98"/>
    </row>
    <row r="18" spans="1:22" s="99" customFormat="1" ht="14.25">
      <c r="A18" s="100"/>
      <c r="B18" s="35"/>
      <c r="C18" s="35" t="s">
        <v>2</v>
      </c>
      <c r="D18" s="37">
        <f>16902*2</f>
        <v>33804</v>
      </c>
      <c r="E18" s="90"/>
      <c r="F18" s="90">
        <v>1587</v>
      </c>
      <c r="G18" s="90">
        <v>12258</v>
      </c>
      <c r="H18" s="91">
        <v>6642</v>
      </c>
      <c r="I18" s="104">
        <f>D18+F18+G18+H18</f>
        <v>54291</v>
      </c>
      <c r="J18" s="60">
        <v>35916</v>
      </c>
      <c r="K18" s="39"/>
      <c r="L18" s="214">
        <v>1741</v>
      </c>
      <c r="M18" s="90">
        <v>12810</v>
      </c>
      <c r="N18" s="91">
        <v>6786</v>
      </c>
      <c r="O18" s="104">
        <f t="shared" si="0"/>
        <v>57253</v>
      </c>
      <c r="P18" s="60">
        <f>O18-I18</f>
        <v>2962</v>
      </c>
      <c r="Q18" s="140">
        <f>P18/I18</f>
        <v>0.05455784568344661</v>
      </c>
      <c r="R18" s="16"/>
      <c r="S18" s="98"/>
      <c r="T18" s="98"/>
      <c r="U18" s="98"/>
      <c r="V18" s="98"/>
    </row>
    <row r="19" spans="1:17" ht="12.75">
      <c r="A19" s="32"/>
      <c r="B19" s="101" t="s">
        <v>4</v>
      </c>
      <c r="C19" s="101"/>
      <c r="D19" s="36"/>
      <c r="E19" s="85"/>
      <c r="F19" s="85"/>
      <c r="G19" s="85"/>
      <c r="H19" s="87"/>
      <c r="I19" s="103"/>
      <c r="J19" s="164"/>
      <c r="K19" s="85"/>
      <c r="L19" s="213"/>
      <c r="M19" s="85"/>
      <c r="N19" s="87"/>
      <c r="O19" s="103"/>
      <c r="P19" s="86"/>
      <c r="Q19" s="138"/>
    </row>
    <row r="20" spans="1:17" ht="12.75">
      <c r="A20" s="28"/>
      <c r="B20" s="29"/>
      <c r="C20" s="29" t="s">
        <v>29</v>
      </c>
      <c r="D20" s="36">
        <f>13356*2</f>
        <v>26712</v>
      </c>
      <c r="E20" s="85"/>
      <c r="F20" s="85">
        <v>1596</v>
      </c>
      <c r="G20" s="85">
        <v>8910</v>
      </c>
      <c r="H20" s="87">
        <v>6642</v>
      </c>
      <c r="I20" s="103">
        <f aca="true" t="shared" si="1" ref="I20:I26">D20+F20+G20+H20</f>
        <v>43860</v>
      </c>
      <c r="J20" s="164">
        <v>27522</v>
      </c>
      <c r="K20" s="85"/>
      <c r="L20" s="213">
        <v>1750</v>
      </c>
      <c r="M20" s="85">
        <v>9072</v>
      </c>
      <c r="N20" s="87">
        <v>6786</v>
      </c>
      <c r="O20" s="103">
        <f aca="true" t="shared" si="2" ref="O20:O26">J20+L20+M20+N20</f>
        <v>45130</v>
      </c>
      <c r="P20" s="86">
        <f aca="true" t="shared" si="3" ref="P20:P25">O20-I20</f>
        <v>1270</v>
      </c>
      <c r="Q20" s="138">
        <f aca="true" t="shared" si="4" ref="Q20:Q25">P20/I20</f>
        <v>0.02895576835385317</v>
      </c>
    </row>
    <row r="21" spans="1:17" ht="12.75">
      <c r="A21" s="28"/>
      <c r="B21" s="29"/>
      <c r="C21" s="29" t="s">
        <v>28</v>
      </c>
      <c r="D21" s="36">
        <f>13509*2</f>
        <v>27018</v>
      </c>
      <c r="E21" s="85"/>
      <c r="F21" s="85">
        <v>1596</v>
      </c>
      <c r="G21" s="85">
        <v>8910</v>
      </c>
      <c r="H21" s="87">
        <v>6642</v>
      </c>
      <c r="I21" s="103">
        <f t="shared" si="1"/>
        <v>44166</v>
      </c>
      <c r="J21" s="164">
        <v>27828</v>
      </c>
      <c r="K21" s="85"/>
      <c r="L21" s="213">
        <v>1750</v>
      </c>
      <c r="M21" s="85">
        <v>9072</v>
      </c>
      <c r="N21" s="87">
        <v>6786</v>
      </c>
      <c r="O21" s="103">
        <f t="shared" si="2"/>
        <v>45436</v>
      </c>
      <c r="P21" s="86">
        <f t="shared" si="3"/>
        <v>1270</v>
      </c>
      <c r="Q21" s="138">
        <f t="shared" si="4"/>
        <v>0.02875515102114749</v>
      </c>
    </row>
    <row r="22" spans="1:17" ht="12.75">
      <c r="A22" s="28"/>
      <c r="B22" s="29"/>
      <c r="C22" s="29" t="s">
        <v>3</v>
      </c>
      <c r="D22" s="36">
        <f>14571*2</f>
        <v>29142</v>
      </c>
      <c r="E22" s="85"/>
      <c r="F22" s="85">
        <v>1596</v>
      </c>
      <c r="G22" s="85">
        <v>8910</v>
      </c>
      <c r="H22" s="87">
        <v>6642</v>
      </c>
      <c r="I22" s="103">
        <f t="shared" si="1"/>
        <v>46290</v>
      </c>
      <c r="J22" s="164">
        <v>30024</v>
      </c>
      <c r="K22" s="85"/>
      <c r="L22" s="213">
        <v>1750</v>
      </c>
      <c r="M22" s="85">
        <v>9072</v>
      </c>
      <c r="N22" s="87">
        <v>6786</v>
      </c>
      <c r="O22" s="103">
        <f t="shared" si="2"/>
        <v>47632</v>
      </c>
      <c r="P22" s="86">
        <f t="shared" si="3"/>
        <v>1342</v>
      </c>
      <c r="Q22" s="138">
        <f t="shared" si="4"/>
        <v>0.02899114279542018</v>
      </c>
    </row>
    <row r="23" spans="1:17" ht="12.75">
      <c r="A23" s="28"/>
      <c r="B23" s="29"/>
      <c r="C23" s="29" t="s">
        <v>6</v>
      </c>
      <c r="D23" s="36">
        <f>15003*2</f>
        <v>30006</v>
      </c>
      <c r="E23" s="85"/>
      <c r="F23" s="85">
        <v>1596</v>
      </c>
      <c r="G23" s="85">
        <v>8910</v>
      </c>
      <c r="H23" s="87">
        <v>6642</v>
      </c>
      <c r="I23" s="103">
        <f t="shared" si="1"/>
        <v>47154</v>
      </c>
      <c r="J23" s="164">
        <v>30906</v>
      </c>
      <c r="K23" s="85"/>
      <c r="L23" s="213">
        <v>1750</v>
      </c>
      <c r="M23" s="85">
        <v>9072</v>
      </c>
      <c r="N23" s="87">
        <v>6786</v>
      </c>
      <c r="O23" s="103">
        <f t="shared" si="2"/>
        <v>48514</v>
      </c>
      <c r="P23" s="86">
        <f t="shared" si="3"/>
        <v>1360</v>
      </c>
      <c r="Q23" s="138">
        <f t="shared" si="4"/>
        <v>0.028841667727022097</v>
      </c>
    </row>
    <row r="24" spans="1:17" ht="12.75">
      <c r="A24" s="28"/>
      <c r="B24" s="29"/>
      <c r="C24" s="29" t="s">
        <v>5</v>
      </c>
      <c r="D24" s="36">
        <f>15237*2</f>
        <v>30474</v>
      </c>
      <c r="E24" s="85"/>
      <c r="F24" s="85">
        <v>1596</v>
      </c>
      <c r="G24" s="85">
        <v>8910</v>
      </c>
      <c r="H24" s="87">
        <v>6642</v>
      </c>
      <c r="I24" s="103">
        <f t="shared" si="1"/>
        <v>47622</v>
      </c>
      <c r="J24" s="164">
        <v>31392</v>
      </c>
      <c r="K24" s="85"/>
      <c r="L24" s="213">
        <v>1750</v>
      </c>
      <c r="M24" s="85">
        <v>9072</v>
      </c>
      <c r="N24" s="87">
        <v>6786</v>
      </c>
      <c r="O24" s="103">
        <f t="shared" si="2"/>
        <v>49000</v>
      </c>
      <c r="P24" s="86">
        <f t="shared" si="3"/>
        <v>1378</v>
      </c>
      <c r="Q24" s="138">
        <f t="shared" si="4"/>
        <v>0.028936205955230776</v>
      </c>
    </row>
    <row r="25" spans="1:17" ht="12.75">
      <c r="A25" s="28"/>
      <c r="B25" s="29"/>
      <c r="C25" s="29" t="s">
        <v>41</v>
      </c>
      <c r="D25" s="36">
        <f>18252*2</f>
        <v>36504</v>
      </c>
      <c r="E25" s="85"/>
      <c r="F25" s="85">
        <v>1596</v>
      </c>
      <c r="G25" s="85">
        <v>8910</v>
      </c>
      <c r="H25" s="87">
        <v>6642</v>
      </c>
      <c r="I25" s="103">
        <f t="shared" si="1"/>
        <v>53652</v>
      </c>
      <c r="J25" s="36">
        <f>18252*2</f>
        <v>36504</v>
      </c>
      <c r="K25" s="85"/>
      <c r="L25" s="213">
        <v>1750</v>
      </c>
      <c r="M25" s="85">
        <v>9072</v>
      </c>
      <c r="N25" s="87">
        <v>6786</v>
      </c>
      <c r="O25" s="103">
        <f t="shared" si="2"/>
        <v>54112</v>
      </c>
      <c r="P25" s="86">
        <f t="shared" si="3"/>
        <v>460</v>
      </c>
      <c r="Q25" s="138">
        <f t="shared" si="4"/>
        <v>0.008573771714008797</v>
      </c>
    </row>
    <row r="26" spans="1:17" ht="13.5" thickBot="1">
      <c r="A26" s="28"/>
      <c r="B26" s="29"/>
      <c r="C26" s="107" t="s">
        <v>84</v>
      </c>
      <c r="D26" s="166">
        <f>18297*2</f>
        <v>36594</v>
      </c>
      <c r="E26" s="94"/>
      <c r="F26" s="94">
        <v>1596</v>
      </c>
      <c r="G26" s="94">
        <v>8910</v>
      </c>
      <c r="H26" s="95">
        <v>6642</v>
      </c>
      <c r="I26" s="112">
        <f t="shared" si="1"/>
        <v>53742</v>
      </c>
      <c r="J26" s="166">
        <f>18297*2</f>
        <v>36594</v>
      </c>
      <c r="K26" s="85"/>
      <c r="L26" s="213">
        <v>1750</v>
      </c>
      <c r="M26" s="85">
        <v>9072</v>
      </c>
      <c r="N26" s="87">
        <v>6786</v>
      </c>
      <c r="O26" s="103">
        <f t="shared" si="2"/>
        <v>54202</v>
      </c>
      <c r="P26" s="86">
        <f>O26-I26</f>
        <v>460</v>
      </c>
      <c r="Q26" s="138">
        <f>P26/I26</f>
        <v>0.008559413494101447</v>
      </c>
    </row>
    <row r="27" spans="1:17" ht="16.5" thickBot="1">
      <c r="A27" s="158" t="s">
        <v>7</v>
      </c>
      <c r="B27" s="151"/>
      <c r="C27" s="151"/>
      <c r="D27" s="154"/>
      <c r="E27" s="155"/>
      <c r="F27" s="155"/>
      <c r="G27" s="151"/>
      <c r="H27" s="155"/>
      <c r="I27" s="156"/>
      <c r="J27" s="154"/>
      <c r="K27" s="155"/>
      <c r="L27" s="155"/>
      <c r="M27" s="151"/>
      <c r="N27" s="155"/>
      <c r="O27" s="156"/>
      <c r="P27" s="154"/>
      <c r="Q27" s="153"/>
    </row>
    <row r="28" spans="1:17" ht="12.75">
      <c r="A28" s="28"/>
      <c r="B28" s="29" t="s">
        <v>1</v>
      </c>
      <c r="C28" s="29"/>
      <c r="D28" s="146"/>
      <c r="E28" s="147"/>
      <c r="F28" s="147"/>
      <c r="G28" s="101"/>
      <c r="H28" s="147"/>
      <c r="I28" s="51"/>
      <c r="J28" s="52"/>
      <c r="K28" s="87"/>
      <c r="L28" s="87"/>
      <c r="M28" s="101"/>
      <c r="N28" s="147"/>
      <c r="O28" s="51"/>
      <c r="P28" s="52"/>
      <c r="Q28" s="108"/>
    </row>
    <row r="29" spans="1:26" ht="12.75">
      <c r="A29" s="28"/>
      <c r="B29" s="29"/>
      <c r="C29" s="29" t="s">
        <v>40</v>
      </c>
      <c r="D29" s="86">
        <v>17388</v>
      </c>
      <c r="E29" s="85"/>
      <c r="F29" s="85">
        <v>1189</v>
      </c>
      <c r="G29" s="85">
        <v>8800</v>
      </c>
      <c r="H29" s="87">
        <v>6642</v>
      </c>
      <c r="I29" s="103">
        <v>34019</v>
      </c>
      <c r="J29" s="86">
        <v>20250</v>
      </c>
      <c r="K29" s="85"/>
      <c r="L29" s="169">
        <v>1433</v>
      </c>
      <c r="M29" s="85">
        <v>9150</v>
      </c>
      <c r="N29" s="87">
        <v>6786</v>
      </c>
      <c r="O29" s="103">
        <f>J29+L29+M29+N29</f>
        <v>37619</v>
      </c>
      <c r="P29" s="86">
        <f>O29-I29</f>
        <v>3600</v>
      </c>
      <c r="Q29" s="138">
        <f>P29/I29</f>
        <v>0.10582321643787296</v>
      </c>
      <c r="Z29" s="99"/>
    </row>
    <row r="30" spans="1:17" ht="14.25">
      <c r="A30" s="28"/>
      <c r="B30" s="29"/>
      <c r="C30" s="29" t="s">
        <v>31</v>
      </c>
      <c r="D30" s="86">
        <v>17640</v>
      </c>
      <c r="E30" s="85"/>
      <c r="F30" s="85">
        <v>1189</v>
      </c>
      <c r="G30" s="85">
        <v>8800</v>
      </c>
      <c r="H30" s="87">
        <v>6642</v>
      </c>
      <c r="I30" s="103">
        <v>34271</v>
      </c>
      <c r="J30" s="86">
        <v>21000</v>
      </c>
      <c r="K30" s="43"/>
      <c r="L30" s="170">
        <v>1433</v>
      </c>
      <c r="M30" s="85">
        <v>9150</v>
      </c>
      <c r="N30" s="87">
        <v>6786</v>
      </c>
      <c r="O30" s="103">
        <f>J30+L30+M30+N30</f>
        <v>38369</v>
      </c>
      <c r="P30" s="86">
        <f>O30-I30</f>
        <v>4098</v>
      </c>
      <c r="Q30" s="138">
        <f>P30/I30</f>
        <v>0.11957631816988123</v>
      </c>
    </row>
    <row r="31" spans="1:17" ht="14.25">
      <c r="A31" s="28"/>
      <c r="B31" s="29"/>
      <c r="C31" s="29" t="s">
        <v>32</v>
      </c>
      <c r="D31" s="86">
        <v>17960</v>
      </c>
      <c r="E31" s="85"/>
      <c r="F31" s="85">
        <v>1189</v>
      </c>
      <c r="G31" s="85">
        <v>8800</v>
      </c>
      <c r="H31" s="87">
        <v>6642</v>
      </c>
      <c r="I31" s="103">
        <v>34591</v>
      </c>
      <c r="J31" s="86">
        <v>21750</v>
      </c>
      <c r="K31" s="43"/>
      <c r="L31" s="170">
        <v>1433</v>
      </c>
      <c r="M31" s="85">
        <v>9150</v>
      </c>
      <c r="N31" s="87">
        <v>6786</v>
      </c>
      <c r="O31" s="103">
        <f>J31+L31+M31+N31</f>
        <v>39119</v>
      </c>
      <c r="P31" s="86">
        <f>O31-I31</f>
        <v>4528</v>
      </c>
      <c r="Q31" s="138">
        <f>P31/I31</f>
        <v>0.13090110144257178</v>
      </c>
    </row>
    <row r="32" spans="1:17" ht="15" thickBot="1">
      <c r="A32" s="28"/>
      <c r="B32" s="29"/>
      <c r="C32" s="29" t="s">
        <v>25</v>
      </c>
      <c r="D32" s="173">
        <v>17960</v>
      </c>
      <c r="E32" s="170"/>
      <c r="F32" s="170">
        <v>1189</v>
      </c>
      <c r="G32" s="170">
        <v>8800</v>
      </c>
      <c r="H32" s="87">
        <v>6642</v>
      </c>
      <c r="I32" s="103">
        <v>34591</v>
      </c>
      <c r="J32" s="173">
        <v>21750</v>
      </c>
      <c r="K32" s="43"/>
      <c r="L32" s="170">
        <v>1433</v>
      </c>
      <c r="M32" s="85">
        <v>9150</v>
      </c>
      <c r="N32" s="87">
        <v>6786</v>
      </c>
      <c r="O32" s="103">
        <f>J32+L32+M32+N32</f>
        <v>39119</v>
      </c>
      <c r="P32" s="173">
        <f>O32-I32</f>
        <v>4528</v>
      </c>
      <c r="Q32" s="138">
        <f>P32/I32</f>
        <v>0.13090110144257178</v>
      </c>
    </row>
    <row r="33" spans="1:17" ht="12.75">
      <c r="A33" s="144"/>
      <c r="B33" s="145" t="s">
        <v>4</v>
      </c>
      <c r="C33" s="145"/>
      <c r="D33" s="61"/>
      <c r="E33" s="62"/>
      <c r="F33" s="62"/>
      <c r="G33" s="62"/>
      <c r="H33" s="147"/>
      <c r="I33" s="64"/>
      <c r="J33" s="61"/>
      <c r="K33" s="62"/>
      <c r="L33" s="62"/>
      <c r="M33" s="62"/>
      <c r="N33" s="147"/>
      <c r="O33" s="64"/>
      <c r="P33" s="62"/>
      <c r="Q33" s="48"/>
    </row>
    <row r="34" spans="1:17" ht="12.75">
      <c r="A34" s="100"/>
      <c r="B34" s="101"/>
      <c r="C34" s="101" t="s">
        <v>23</v>
      </c>
      <c r="D34" s="173">
        <v>19100</v>
      </c>
      <c r="E34" s="170"/>
      <c r="F34" s="170">
        <v>1189</v>
      </c>
      <c r="G34" s="170">
        <v>8910</v>
      </c>
      <c r="H34" s="87">
        <v>6642</v>
      </c>
      <c r="I34" s="103">
        <v>35841</v>
      </c>
      <c r="J34" s="173">
        <v>29400</v>
      </c>
      <c r="K34" s="170"/>
      <c r="L34" s="170">
        <v>1433</v>
      </c>
      <c r="M34" s="170">
        <v>9072</v>
      </c>
      <c r="N34" s="87">
        <v>6786</v>
      </c>
      <c r="O34" s="103">
        <f>J34+L34+M34+N34</f>
        <v>46691</v>
      </c>
      <c r="P34" s="170">
        <f>O34-I34</f>
        <v>10850</v>
      </c>
      <c r="Q34" s="138">
        <f>P34/I34</f>
        <v>0.3027259284060155</v>
      </c>
    </row>
    <row r="35" spans="1:17" ht="12.75">
      <c r="A35" s="100"/>
      <c r="B35" s="101"/>
      <c r="C35" s="101" t="s">
        <v>22</v>
      </c>
      <c r="D35" s="173">
        <v>19100</v>
      </c>
      <c r="E35" s="170"/>
      <c r="F35" s="170">
        <v>1189</v>
      </c>
      <c r="G35" s="170">
        <v>8910</v>
      </c>
      <c r="H35" s="87">
        <v>6642</v>
      </c>
      <c r="I35" s="103">
        <v>37201</v>
      </c>
      <c r="J35" s="173">
        <v>29400</v>
      </c>
      <c r="K35" s="170"/>
      <c r="L35" s="170">
        <v>1433</v>
      </c>
      <c r="M35" s="170">
        <v>9072</v>
      </c>
      <c r="N35" s="87">
        <v>6786</v>
      </c>
      <c r="O35" s="103">
        <f>J35+L35+M35+N35</f>
        <v>46691</v>
      </c>
      <c r="P35" s="170">
        <f>O35-I35</f>
        <v>9490</v>
      </c>
      <c r="Q35" s="138">
        <f>P35/I35</f>
        <v>0.2551006693368458</v>
      </c>
    </row>
    <row r="36" spans="1:17" ht="12.75">
      <c r="A36" s="100"/>
      <c r="B36" s="101"/>
      <c r="C36" s="101" t="s">
        <v>21</v>
      </c>
      <c r="D36" s="173">
        <v>20460</v>
      </c>
      <c r="E36" s="170"/>
      <c r="F36" s="170">
        <v>1189</v>
      </c>
      <c r="G36" s="170">
        <v>8910</v>
      </c>
      <c r="H36" s="87">
        <v>6642</v>
      </c>
      <c r="I36" s="103">
        <v>37201</v>
      </c>
      <c r="J36" s="173">
        <v>31500</v>
      </c>
      <c r="K36" s="170"/>
      <c r="L36" s="170">
        <v>1433</v>
      </c>
      <c r="M36" s="170">
        <v>9072</v>
      </c>
      <c r="N36" s="87">
        <v>6786</v>
      </c>
      <c r="O36" s="103">
        <f>J36+L36+M36+N36</f>
        <v>48791</v>
      </c>
      <c r="P36" s="170">
        <f>O36-I36</f>
        <v>11590</v>
      </c>
      <c r="Q36" s="138">
        <f>P36/I36</f>
        <v>0.31155076476438803</v>
      </c>
    </row>
    <row r="37" spans="1:17" ht="13.5" thickBot="1">
      <c r="A37" s="100"/>
      <c r="B37" s="101"/>
      <c r="C37" s="101" t="s">
        <v>24</v>
      </c>
      <c r="D37" s="173">
        <v>20460</v>
      </c>
      <c r="E37" s="171"/>
      <c r="F37" s="172">
        <v>1189</v>
      </c>
      <c r="G37" s="170">
        <v>8910</v>
      </c>
      <c r="H37" s="91">
        <v>6642</v>
      </c>
      <c r="I37" s="104">
        <v>37201</v>
      </c>
      <c r="J37" s="173">
        <v>31500</v>
      </c>
      <c r="K37" s="170"/>
      <c r="L37" s="171">
        <v>1433</v>
      </c>
      <c r="M37" s="170">
        <v>9072</v>
      </c>
      <c r="N37" s="87">
        <v>6786</v>
      </c>
      <c r="O37" s="103">
        <f>J37+L37+M37+N37</f>
        <v>48791</v>
      </c>
      <c r="P37" s="170">
        <f>O37-I37</f>
        <v>11590</v>
      </c>
      <c r="Q37" s="138">
        <f>P37/I37</f>
        <v>0.31155076476438803</v>
      </c>
    </row>
    <row r="38" spans="1:17" ht="16.5" thickBot="1">
      <c r="A38" s="158" t="s">
        <v>47</v>
      </c>
      <c r="B38" s="151"/>
      <c r="C38" s="151"/>
      <c r="D38" s="154"/>
      <c r="E38" s="155"/>
      <c r="F38" s="155"/>
      <c r="G38" s="155"/>
      <c r="H38" s="155"/>
      <c r="I38" s="156"/>
      <c r="J38" s="154"/>
      <c r="K38" s="155"/>
      <c r="L38" s="155"/>
      <c r="M38" s="155"/>
      <c r="N38" s="155"/>
      <c r="O38" s="156"/>
      <c r="P38" s="155"/>
      <c r="Q38" s="153"/>
    </row>
    <row r="39" spans="1:17" ht="12.75">
      <c r="A39" s="144"/>
      <c r="B39" s="145" t="s">
        <v>1</v>
      </c>
      <c r="C39" s="182"/>
      <c r="D39" s="147"/>
      <c r="E39" s="147"/>
      <c r="F39" s="147"/>
      <c r="G39" s="147"/>
      <c r="H39" s="147"/>
      <c r="I39" s="186"/>
      <c r="J39" s="146"/>
      <c r="K39" s="147"/>
      <c r="L39" s="147"/>
      <c r="M39" s="147"/>
      <c r="N39" s="147"/>
      <c r="O39" s="148"/>
      <c r="P39" s="146"/>
      <c r="Q39" s="102"/>
    </row>
    <row r="40" spans="1:18" ht="12.75">
      <c r="A40" s="100"/>
      <c r="B40" s="101"/>
      <c r="C40" s="183" t="s">
        <v>15</v>
      </c>
      <c r="D40" s="170">
        <v>24940</v>
      </c>
      <c r="E40" s="170"/>
      <c r="F40" s="170">
        <v>1015.66</v>
      </c>
      <c r="G40" s="89">
        <v>10590</v>
      </c>
      <c r="H40" s="87">
        <v>6642</v>
      </c>
      <c r="I40" s="87">
        <v>43187.66</v>
      </c>
      <c r="J40" s="173">
        <v>27030</v>
      </c>
      <c r="K40" s="170"/>
      <c r="L40" s="170">
        <v>1077.62</v>
      </c>
      <c r="M40" s="89">
        <v>10940</v>
      </c>
      <c r="N40" s="87">
        <v>6786</v>
      </c>
      <c r="O40" s="103">
        <f aca="true" t="shared" si="5" ref="O40:O51">J40+L40+M40+N40</f>
        <v>45833.619999999995</v>
      </c>
      <c r="P40" s="173">
        <f aca="true" t="shared" si="6" ref="P40:P51">O40-I40</f>
        <v>2645.959999999992</v>
      </c>
      <c r="Q40" s="138">
        <f aca="true" t="shared" si="7" ref="Q40:Q51">P40/I40</f>
        <v>0.0612665747576968</v>
      </c>
      <c r="R40" s="19"/>
    </row>
    <row r="41" spans="1:18" ht="12.75">
      <c r="A41" s="100"/>
      <c r="B41" s="101"/>
      <c r="C41" s="183" t="s">
        <v>36</v>
      </c>
      <c r="D41" s="172">
        <v>24940</v>
      </c>
      <c r="E41" s="172"/>
      <c r="F41" s="172">
        <v>1015.66</v>
      </c>
      <c r="G41" s="139">
        <v>10590</v>
      </c>
      <c r="H41" s="91">
        <v>6642</v>
      </c>
      <c r="I41" s="91">
        <v>43187.66</v>
      </c>
      <c r="J41" s="175">
        <v>27030</v>
      </c>
      <c r="K41" s="172"/>
      <c r="L41" s="172">
        <v>1077.62</v>
      </c>
      <c r="M41" s="139">
        <v>10940</v>
      </c>
      <c r="N41" s="91">
        <v>6786</v>
      </c>
      <c r="O41" s="104">
        <f t="shared" si="5"/>
        <v>45833.619999999995</v>
      </c>
      <c r="P41" s="175">
        <f t="shared" si="6"/>
        <v>2645.959999999992</v>
      </c>
      <c r="Q41" s="140">
        <f t="shared" si="7"/>
        <v>0.0612665747576968</v>
      </c>
      <c r="R41" s="19"/>
    </row>
    <row r="42" spans="1:21" ht="12.75">
      <c r="A42" s="105"/>
      <c r="B42" s="106" t="s">
        <v>4</v>
      </c>
      <c r="C42" s="184"/>
      <c r="D42" s="170"/>
      <c r="E42" s="170"/>
      <c r="F42" s="170"/>
      <c r="G42" s="92"/>
      <c r="H42" s="87"/>
      <c r="I42" s="87"/>
      <c r="J42" s="173"/>
      <c r="K42" s="170"/>
      <c r="L42" s="170"/>
      <c r="M42" s="92"/>
      <c r="N42" s="87"/>
      <c r="O42" s="103"/>
      <c r="P42" s="173"/>
      <c r="Q42" s="138"/>
      <c r="R42" s="19"/>
      <c r="U42" s="18"/>
    </row>
    <row r="43" spans="1:19" ht="12.75">
      <c r="A43" s="100"/>
      <c r="B43" s="101"/>
      <c r="C43" s="183" t="s">
        <v>9</v>
      </c>
      <c r="D43" s="170">
        <v>24638</v>
      </c>
      <c r="E43" s="170"/>
      <c r="F43" s="170">
        <v>1015.66</v>
      </c>
      <c r="G43" s="170">
        <v>8910</v>
      </c>
      <c r="H43" s="87">
        <v>6642</v>
      </c>
      <c r="I43" s="87">
        <v>41205.66</v>
      </c>
      <c r="J43" s="173">
        <v>29688</v>
      </c>
      <c r="K43" s="170"/>
      <c r="L43" s="170">
        <v>1077.62</v>
      </c>
      <c r="M43" s="170">
        <v>9072</v>
      </c>
      <c r="N43" s="87">
        <v>6786</v>
      </c>
      <c r="O43" s="103">
        <f t="shared" si="5"/>
        <v>46623.619999999995</v>
      </c>
      <c r="P43" s="173">
        <f t="shared" si="6"/>
        <v>5417.959999999992</v>
      </c>
      <c r="Q43" s="138">
        <f t="shared" si="7"/>
        <v>0.13148582015189156</v>
      </c>
      <c r="R43" s="19"/>
      <c r="S43" s="33"/>
    </row>
    <row r="44" spans="1:21" ht="12.75">
      <c r="A44" s="100"/>
      <c r="B44" s="101"/>
      <c r="C44" s="46" t="s">
        <v>10</v>
      </c>
      <c r="D44" s="170">
        <v>26288</v>
      </c>
      <c r="E44" s="170"/>
      <c r="F44" s="170">
        <v>1015.66</v>
      </c>
      <c r="G44" s="170">
        <v>8910</v>
      </c>
      <c r="H44" s="87">
        <v>6642</v>
      </c>
      <c r="I44" s="87">
        <v>42855.66</v>
      </c>
      <c r="J44" s="173">
        <v>31692</v>
      </c>
      <c r="K44" s="170"/>
      <c r="L44" s="170">
        <v>1077.62</v>
      </c>
      <c r="M44" s="170">
        <v>9072</v>
      </c>
      <c r="N44" s="87">
        <v>6786</v>
      </c>
      <c r="O44" s="103">
        <f t="shared" si="5"/>
        <v>48627.62</v>
      </c>
      <c r="P44" s="173">
        <f t="shared" si="6"/>
        <v>5771.959999999999</v>
      </c>
      <c r="Q44" s="138">
        <f t="shared" si="7"/>
        <v>0.13468372672361129</v>
      </c>
      <c r="R44" s="19"/>
      <c r="U44" s="18"/>
    </row>
    <row r="45" spans="1:18" ht="12.75">
      <c r="A45" s="100"/>
      <c r="B45" s="101"/>
      <c r="C45" s="46" t="s">
        <v>3</v>
      </c>
      <c r="D45" s="170">
        <v>26288</v>
      </c>
      <c r="E45" s="170"/>
      <c r="F45" s="170">
        <v>1015.66</v>
      </c>
      <c r="G45" s="170">
        <v>8910</v>
      </c>
      <c r="H45" s="87">
        <v>6642</v>
      </c>
      <c r="I45" s="87">
        <v>42855.66</v>
      </c>
      <c r="J45" s="173">
        <v>31692</v>
      </c>
      <c r="K45" s="170"/>
      <c r="L45" s="170">
        <v>1077.62</v>
      </c>
      <c r="M45" s="170">
        <v>9072</v>
      </c>
      <c r="N45" s="87">
        <v>6786</v>
      </c>
      <c r="O45" s="103">
        <f t="shared" si="5"/>
        <v>48627.62</v>
      </c>
      <c r="P45" s="173">
        <f t="shared" si="6"/>
        <v>5771.959999999999</v>
      </c>
      <c r="Q45" s="138">
        <f t="shared" si="7"/>
        <v>0.13468372672361129</v>
      </c>
      <c r="R45" s="19"/>
    </row>
    <row r="46" spans="1:22" s="99" customFormat="1" ht="12.75">
      <c r="A46" s="100"/>
      <c r="B46" s="101"/>
      <c r="C46" s="46" t="s">
        <v>73</v>
      </c>
      <c r="D46" s="170">
        <v>26698</v>
      </c>
      <c r="E46" s="170"/>
      <c r="F46" s="170">
        <v>1015.66</v>
      </c>
      <c r="G46" s="170">
        <v>8910</v>
      </c>
      <c r="H46" s="170">
        <v>6642</v>
      </c>
      <c r="I46" s="170">
        <f>D46+F46+G46+H46</f>
        <v>43265.66</v>
      </c>
      <c r="J46" s="173">
        <v>27240</v>
      </c>
      <c r="K46" s="170"/>
      <c r="L46" s="170">
        <v>1077.62</v>
      </c>
      <c r="M46" s="170">
        <v>9072</v>
      </c>
      <c r="N46" s="170">
        <v>6786</v>
      </c>
      <c r="O46" s="103">
        <f>J46+L46+M46+N46</f>
        <v>44175.619999999995</v>
      </c>
      <c r="P46" s="173">
        <f>O46-I46</f>
        <v>909.9599999999919</v>
      </c>
      <c r="Q46" s="138">
        <f>P46/I46</f>
        <v>0.02103192231437107</v>
      </c>
      <c r="R46" s="19"/>
      <c r="S46" s="98"/>
      <c r="T46" s="98"/>
      <c r="U46" s="98"/>
      <c r="V46" s="98"/>
    </row>
    <row r="47" spans="1:18" ht="12.75">
      <c r="A47" s="100"/>
      <c r="B47" s="101"/>
      <c r="C47" s="183" t="s">
        <v>37</v>
      </c>
      <c r="D47" s="170">
        <v>26288</v>
      </c>
      <c r="E47" s="170"/>
      <c r="F47" s="170">
        <v>1015.66</v>
      </c>
      <c r="G47" s="170">
        <v>8910</v>
      </c>
      <c r="H47" s="87">
        <v>6642</v>
      </c>
      <c r="I47" s="87">
        <v>42855.66</v>
      </c>
      <c r="J47" s="173">
        <v>31692</v>
      </c>
      <c r="K47" s="170"/>
      <c r="L47" s="170">
        <v>1077.62</v>
      </c>
      <c r="M47" s="170">
        <v>9072</v>
      </c>
      <c r="N47" s="87">
        <v>6786</v>
      </c>
      <c r="O47" s="103">
        <f t="shared" si="5"/>
        <v>48627.62</v>
      </c>
      <c r="P47" s="173">
        <f t="shared" si="6"/>
        <v>5771.959999999999</v>
      </c>
      <c r="Q47" s="138">
        <f t="shared" si="7"/>
        <v>0.13468372672361129</v>
      </c>
      <c r="R47" s="19"/>
    </row>
    <row r="48" spans="1:18" ht="12.75">
      <c r="A48" s="100"/>
      <c r="B48" s="101"/>
      <c r="C48" s="183" t="s">
        <v>11</v>
      </c>
      <c r="D48" s="170">
        <v>26288</v>
      </c>
      <c r="E48" s="170"/>
      <c r="F48" s="170">
        <v>1015.66</v>
      </c>
      <c r="G48" s="170">
        <v>8910</v>
      </c>
      <c r="H48" s="87">
        <v>6642</v>
      </c>
      <c r="I48" s="87">
        <v>42855.66</v>
      </c>
      <c r="J48" s="173">
        <v>31692</v>
      </c>
      <c r="K48" s="170"/>
      <c r="L48" s="170">
        <v>1077.62</v>
      </c>
      <c r="M48" s="170">
        <v>9072</v>
      </c>
      <c r="N48" s="87">
        <v>6786</v>
      </c>
      <c r="O48" s="103">
        <f t="shared" si="5"/>
        <v>48627.62</v>
      </c>
      <c r="P48" s="173">
        <f t="shared" si="6"/>
        <v>5771.959999999999</v>
      </c>
      <c r="Q48" s="138">
        <f t="shared" si="7"/>
        <v>0.13468372672361129</v>
      </c>
      <c r="R48" s="19"/>
    </row>
    <row r="49" spans="1:18" ht="13.5" thickBot="1">
      <c r="A49" s="109"/>
      <c r="B49" s="110"/>
      <c r="C49" s="185" t="s">
        <v>8</v>
      </c>
      <c r="D49" s="171">
        <v>26288</v>
      </c>
      <c r="E49" s="171"/>
      <c r="F49" s="171">
        <v>1015.66</v>
      </c>
      <c r="G49" s="171">
        <v>8910</v>
      </c>
      <c r="H49" s="95">
        <v>6642</v>
      </c>
      <c r="I49" s="95">
        <v>42855.66</v>
      </c>
      <c r="J49" s="174">
        <v>31692</v>
      </c>
      <c r="K49" s="171"/>
      <c r="L49" s="171">
        <v>1077.62</v>
      </c>
      <c r="M49" s="171">
        <v>9072</v>
      </c>
      <c r="N49" s="95">
        <v>6786</v>
      </c>
      <c r="O49" s="112">
        <f t="shared" si="5"/>
        <v>48627.62</v>
      </c>
      <c r="P49" s="174">
        <f t="shared" si="6"/>
        <v>5771.959999999999</v>
      </c>
      <c r="Q49" s="141">
        <f t="shared" si="7"/>
        <v>0.13468372672361129</v>
      </c>
      <c r="R49" s="19"/>
    </row>
    <row r="50" spans="1:22" s="99" customFormat="1" ht="12.75">
      <c r="A50" s="100"/>
      <c r="B50" s="101"/>
      <c r="C50" s="107" t="s">
        <v>74</v>
      </c>
      <c r="D50" s="167" t="s">
        <v>55</v>
      </c>
      <c r="E50" s="116"/>
      <c r="F50" s="116" t="s">
        <v>55</v>
      </c>
      <c r="G50" s="116" t="s">
        <v>55</v>
      </c>
      <c r="H50" s="116" t="s">
        <v>55</v>
      </c>
      <c r="I50" s="168" t="s">
        <v>55</v>
      </c>
      <c r="J50" s="173">
        <v>32238</v>
      </c>
      <c r="K50" s="170"/>
      <c r="L50" s="170">
        <v>1077.62</v>
      </c>
      <c r="M50" s="170">
        <v>9072</v>
      </c>
      <c r="N50" s="170">
        <v>6786</v>
      </c>
      <c r="O50" s="103">
        <f>J50+L50+M50+N50</f>
        <v>49173.62</v>
      </c>
      <c r="P50" s="116" t="s">
        <v>55</v>
      </c>
      <c r="Q50" s="168" t="s">
        <v>55</v>
      </c>
      <c r="R50" s="19"/>
      <c r="S50" s="98"/>
      <c r="T50" s="98"/>
      <c r="U50" s="98"/>
      <c r="V50" s="98"/>
    </row>
    <row r="51" spans="1:18" ht="13.5" thickBot="1">
      <c r="A51" s="109"/>
      <c r="B51" s="110"/>
      <c r="C51" s="110" t="s">
        <v>33</v>
      </c>
      <c r="D51" s="174">
        <v>26750</v>
      </c>
      <c r="E51" s="171"/>
      <c r="F51" s="171">
        <v>1015.66</v>
      </c>
      <c r="G51" s="171">
        <v>8910</v>
      </c>
      <c r="H51" s="95">
        <v>6642</v>
      </c>
      <c r="I51" s="77">
        <v>43317.66</v>
      </c>
      <c r="J51" s="174">
        <v>32238</v>
      </c>
      <c r="K51" s="171"/>
      <c r="L51" s="171">
        <v>1077.62</v>
      </c>
      <c r="M51" s="171">
        <v>9072</v>
      </c>
      <c r="N51" s="95">
        <v>6786</v>
      </c>
      <c r="O51" s="112">
        <f t="shared" si="5"/>
        <v>49173.62</v>
      </c>
      <c r="P51" s="171">
        <f t="shared" si="6"/>
        <v>5855.959999999999</v>
      </c>
      <c r="Q51" s="141">
        <f t="shared" si="7"/>
        <v>0.13518643435494895</v>
      </c>
      <c r="R51" s="19"/>
    </row>
    <row r="52" spans="1:18" ht="19.5" thickBot="1">
      <c r="A52" s="158" t="s">
        <v>83</v>
      </c>
      <c r="B52" s="151"/>
      <c r="C52" s="151"/>
      <c r="D52" s="159"/>
      <c r="E52" s="160"/>
      <c r="F52" s="160"/>
      <c r="G52" s="160"/>
      <c r="H52" s="155"/>
      <c r="I52" s="161"/>
      <c r="J52" s="154"/>
      <c r="K52" s="155"/>
      <c r="L52" s="155"/>
      <c r="M52" s="155"/>
      <c r="N52" s="155"/>
      <c r="O52" s="157"/>
      <c r="P52" s="155"/>
      <c r="Q52" s="153"/>
      <c r="R52" s="19"/>
    </row>
    <row r="53" spans="1:22" s="13" customFormat="1" ht="12.75">
      <c r="A53" s="68"/>
      <c r="B53" s="67" t="s">
        <v>1</v>
      </c>
      <c r="C53" s="67"/>
      <c r="D53" s="61"/>
      <c r="E53" s="62"/>
      <c r="F53" s="63"/>
      <c r="G53" s="63"/>
      <c r="H53" s="62"/>
      <c r="I53" s="64"/>
      <c r="J53" s="47"/>
      <c r="K53" s="63"/>
      <c r="L53" s="63"/>
      <c r="M53" s="63"/>
      <c r="N53" s="62"/>
      <c r="O53" s="48"/>
      <c r="P53" s="63"/>
      <c r="Q53" s="65"/>
      <c r="R53" s="20"/>
      <c r="S53" s="12"/>
      <c r="T53" s="12"/>
      <c r="U53" s="12"/>
      <c r="V53" s="12"/>
    </row>
    <row r="54" spans="1:22" s="13" customFormat="1" ht="12.75">
      <c r="A54" s="68"/>
      <c r="B54" s="67"/>
      <c r="C54" s="67" t="s">
        <v>14</v>
      </c>
      <c r="D54" s="173">
        <v>24570</v>
      </c>
      <c r="E54" s="170"/>
      <c r="F54" s="170">
        <v>266.7</v>
      </c>
      <c r="G54" s="170">
        <v>8910</v>
      </c>
      <c r="H54" s="87">
        <v>6642</v>
      </c>
      <c r="I54" s="103">
        <v>40388.7</v>
      </c>
      <c r="J54" s="173">
        <v>26040</v>
      </c>
      <c r="K54" s="170"/>
      <c r="L54" s="170">
        <v>276.7</v>
      </c>
      <c r="M54" s="170">
        <v>9072</v>
      </c>
      <c r="N54" s="87">
        <v>6786</v>
      </c>
      <c r="O54" s="103">
        <f aca="true" t="shared" si="8" ref="O54:O74">J54+L54+M54+N54</f>
        <v>42174.7</v>
      </c>
      <c r="P54" s="170">
        <f aca="true" t="shared" si="9" ref="P54:P74">O54-I54</f>
        <v>1786</v>
      </c>
      <c r="Q54" s="138">
        <f aca="true" t="shared" si="10" ref="Q54:Q74">P54/I54</f>
        <v>0.04422028933835454</v>
      </c>
      <c r="R54" s="20"/>
      <c r="S54" s="12"/>
      <c r="T54" s="12"/>
      <c r="U54" s="12"/>
      <c r="V54" s="12"/>
    </row>
    <row r="55" spans="1:22" s="13" customFormat="1" ht="12.75">
      <c r="A55" s="68"/>
      <c r="B55" s="67"/>
      <c r="C55" s="133" t="s">
        <v>56</v>
      </c>
      <c r="D55" s="175">
        <v>14250</v>
      </c>
      <c r="E55" s="172"/>
      <c r="F55" s="172">
        <v>266.7</v>
      </c>
      <c r="G55" s="172">
        <v>8910</v>
      </c>
      <c r="H55" s="91">
        <v>6642</v>
      </c>
      <c r="I55" s="104">
        <v>30068.7</v>
      </c>
      <c r="J55" s="175">
        <v>14700</v>
      </c>
      <c r="K55" s="172"/>
      <c r="L55" s="172">
        <v>276.7</v>
      </c>
      <c r="M55" s="172">
        <v>9072</v>
      </c>
      <c r="N55" s="91">
        <v>6786</v>
      </c>
      <c r="O55" s="104">
        <f t="shared" si="8"/>
        <v>30834.7</v>
      </c>
      <c r="P55" s="172">
        <f t="shared" si="9"/>
        <v>766</v>
      </c>
      <c r="Q55" s="140">
        <f t="shared" si="10"/>
        <v>0.02547499559342439</v>
      </c>
      <c r="R55" s="20"/>
      <c r="S55" s="12"/>
      <c r="T55" s="12"/>
      <c r="U55" s="12"/>
      <c r="V55" s="12"/>
    </row>
    <row r="56" spans="1:22" s="13" customFormat="1" ht="12.75">
      <c r="A56" s="69"/>
      <c r="B56" s="70" t="s">
        <v>4</v>
      </c>
      <c r="C56" s="70"/>
      <c r="D56" s="173"/>
      <c r="E56" s="170"/>
      <c r="F56" s="170"/>
      <c r="G56" s="170"/>
      <c r="H56" s="170"/>
      <c r="I56" s="103"/>
      <c r="J56" s="173"/>
      <c r="K56" s="170"/>
      <c r="L56" s="170"/>
      <c r="M56" s="170"/>
      <c r="N56" s="170"/>
      <c r="O56" s="103"/>
      <c r="P56" s="170"/>
      <c r="Q56" s="138"/>
      <c r="R56" s="20"/>
      <c r="S56" s="12"/>
      <c r="T56" s="12"/>
      <c r="U56" s="12"/>
      <c r="V56" s="12"/>
    </row>
    <row r="57" spans="1:22" s="13" customFormat="1" ht="12.75">
      <c r="A57" s="68"/>
      <c r="B57" s="67"/>
      <c r="C57" s="66" t="s">
        <v>57</v>
      </c>
      <c r="D57" s="173">
        <v>23190</v>
      </c>
      <c r="E57" s="170"/>
      <c r="F57" s="170">
        <v>266.7</v>
      </c>
      <c r="G57" s="170">
        <v>8910</v>
      </c>
      <c r="H57" s="87">
        <v>6642</v>
      </c>
      <c r="I57" s="103">
        <v>39008.7</v>
      </c>
      <c r="J57" s="173">
        <v>23190</v>
      </c>
      <c r="K57" s="170"/>
      <c r="L57" s="170">
        <v>276.7</v>
      </c>
      <c r="M57" s="170">
        <v>9072</v>
      </c>
      <c r="N57" s="87">
        <v>6786</v>
      </c>
      <c r="O57" s="103">
        <f t="shared" si="8"/>
        <v>39324.7</v>
      </c>
      <c r="P57" s="170">
        <f t="shared" si="9"/>
        <v>316</v>
      </c>
      <c r="Q57" s="138">
        <f t="shared" si="10"/>
        <v>0.008100757010615581</v>
      </c>
      <c r="R57" s="20"/>
      <c r="S57" s="12"/>
      <c r="T57" s="12"/>
      <c r="U57" s="12"/>
      <c r="V57" s="12"/>
    </row>
    <row r="58" spans="1:22" s="13" customFormat="1" ht="12.75">
      <c r="A58" s="68"/>
      <c r="B58" s="67"/>
      <c r="C58" s="67" t="s">
        <v>34</v>
      </c>
      <c r="D58" s="173">
        <v>20070</v>
      </c>
      <c r="E58" s="170"/>
      <c r="F58" s="170">
        <v>266.7</v>
      </c>
      <c r="G58" s="170">
        <v>8910</v>
      </c>
      <c r="H58" s="87">
        <v>6642</v>
      </c>
      <c r="I58" s="103">
        <v>35888.7</v>
      </c>
      <c r="J58" s="173">
        <v>22050</v>
      </c>
      <c r="K58" s="170"/>
      <c r="L58" s="170">
        <v>276.7</v>
      </c>
      <c r="M58" s="170">
        <v>9072</v>
      </c>
      <c r="N58" s="87">
        <v>6786</v>
      </c>
      <c r="O58" s="103">
        <f t="shared" si="8"/>
        <v>38184.7</v>
      </c>
      <c r="P58" s="170">
        <f t="shared" si="9"/>
        <v>2296</v>
      </c>
      <c r="Q58" s="138">
        <f t="shared" si="10"/>
        <v>0.063975568911663</v>
      </c>
      <c r="R58" s="20"/>
      <c r="S58" s="12"/>
      <c r="T58" s="12"/>
      <c r="U58" s="12"/>
      <c r="V58" s="12"/>
    </row>
    <row r="59" spans="1:22" s="13" customFormat="1" ht="12.75">
      <c r="A59" s="68"/>
      <c r="B59" s="67"/>
      <c r="C59" s="66" t="s">
        <v>49</v>
      </c>
      <c r="D59" s="173">
        <v>36450</v>
      </c>
      <c r="E59" s="170"/>
      <c r="F59" s="170">
        <v>266.7</v>
      </c>
      <c r="G59" s="170">
        <v>8910</v>
      </c>
      <c r="H59" s="87">
        <v>6642</v>
      </c>
      <c r="I59" s="103">
        <v>52268.7</v>
      </c>
      <c r="J59" s="173">
        <v>36450</v>
      </c>
      <c r="K59" s="170"/>
      <c r="L59" s="170">
        <v>276.7</v>
      </c>
      <c r="M59" s="170">
        <v>9072</v>
      </c>
      <c r="N59" s="87">
        <v>6786</v>
      </c>
      <c r="O59" s="103">
        <f t="shared" si="8"/>
        <v>52584.7</v>
      </c>
      <c r="P59" s="170">
        <f t="shared" si="9"/>
        <v>316</v>
      </c>
      <c r="Q59" s="138">
        <f t="shared" si="10"/>
        <v>0.0060456831717643645</v>
      </c>
      <c r="R59" s="20"/>
      <c r="S59" s="12"/>
      <c r="T59" s="12"/>
      <c r="U59" s="12"/>
      <c r="V59" s="12"/>
    </row>
    <row r="60" spans="1:22" s="13" customFormat="1" ht="12.75">
      <c r="A60" s="68"/>
      <c r="B60" s="67"/>
      <c r="C60" s="66" t="s">
        <v>50</v>
      </c>
      <c r="D60" s="173">
        <v>32040</v>
      </c>
      <c r="E60" s="170"/>
      <c r="F60" s="170">
        <v>266.7</v>
      </c>
      <c r="G60" s="170">
        <v>8910</v>
      </c>
      <c r="H60" s="87">
        <v>6642</v>
      </c>
      <c r="I60" s="103">
        <v>47858.7</v>
      </c>
      <c r="J60" s="173">
        <v>32040</v>
      </c>
      <c r="K60" s="170"/>
      <c r="L60" s="170">
        <v>276.7</v>
      </c>
      <c r="M60" s="170">
        <v>9072</v>
      </c>
      <c r="N60" s="87">
        <v>6786</v>
      </c>
      <c r="O60" s="103">
        <f t="shared" si="8"/>
        <v>48174.7</v>
      </c>
      <c r="P60" s="170">
        <f t="shared" si="9"/>
        <v>316</v>
      </c>
      <c r="Q60" s="138">
        <f t="shared" si="10"/>
        <v>0.0066027702382221</v>
      </c>
      <c r="R60" s="20"/>
      <c r="S60" s="12"/>
      <c r="T60" s="12"/>
      <c r="U60" s="12"/>
      <c r="V60" s="12"/>
    </row>
    <row r="61" spans="1:22" s="13" customFormat="1" ht="12.75">
      <c r="A61" s="68"/>
      <c r="B61" s="67"/>
      <c r="C61" s="67" t="s">
        <v>61</v>
      </c>
      <c r="D61" s="173">
        <v>32040</v>
      </c>
      <c r="E61" s="170"/>
      <c r="F61" s="170">
        <v>266.7</v>
      </c>
      <c r="G61" s="170">
        <v>8910</v>
      </c>
      <c r="H61" s="87">
        <v>6642</v>
      </c>
      <c r="I61" s="103">
        <v>47858.7</v>
      </c>
      <c r="J61" s="173">
        <v>32040</v>
      </c>
      <c r="K61" s="170"/>
      <c r="L61" s="170">
        <v>276.7</v>
      </c>
      <c r="M61" s="170">
        <v>9072</v>
      </c>
      <c r="N61" s="87">
        <v>6786</v>
      </c>
      <c r="O61" s="103">
        <f t="shared" si="8"/>
        <v>48174.7</v>
      </c>
      <c r="P61" s="170">
        <f t="shared" si="9"/>
        <v>316</v>
      </c>
      <c r="Q61" s="138">
        <f t="shared" si="10"/>
        <v>0.0066027702382221</v>
      </c>
      <c r="R61" s="20"/>
      <c r="S61" s="12"/>
      <c r="T61" s="12"/>
      <c r="U61" s="12"/>
      <c r="V61" s="12"/>
    </row>
    <row r="62" spans="1:24" s="13" customFormat="1" ht="12.75">
      <c r="A62" s="68"/>
      <c r="B62" s="67"/>
      <c r="C62" s="67" t="s">
        <v>62</v>
      </c>
      <c r="D62" s="173">
        <v>36450</v>
      </c>
      <c r="E62" s="170"/>
      <c r="F62" s="170">
        <v>266.7</v>
      </c>
      <c r="G62" s="170">
        <v>8910</v>
      </c>
      <c r="H62" s="87">
        <v>6642</v>
      </c>
      <c r="I62" s="103">
        <v>52268.7</v>
      </c>
      <c r="J62" s="173">
        <v>36450</v>
      </c>
      <c r="K62" s="170"/>
      <c r="L62" s="170">
        <v>276.7</v>
      </c>
      <c r="M62" s="170">
        <v>9072</v>
      </c>
      <c r="N62" s="87">
        <v>6786</v>
      </c>
      <c r="O62" s="103">
        <f t="shared" si="8"/>
        <v>52584.7</v>
      </c>
      <c r="P62" s="170">
        <f t="shared" si="9"/>
        <v>316</v>
      </c>
      <c r="Q62" s="138">
        <f t="shared" si="10"/>
        <v>0.0060456831717643645</v>
      </c>
      <c r="R62" s="20"/>
      <c r="S62" s="12"/>
      <c r="T62" s="12"/>
      <c r="U62" s="12"/>
      <c r="V62" s="12"/>
      <c r="X62" s="107"/>
    </row>
    <row r="63" spans="1:22" s="13" customFormat="1" ht="12.75">
      <c r="A63" s="68"/>
      <c r="B63" s="67"/>
      <c r="C63" s="66" t="s">
        <v>30</v>
      </c>
      <c r="D63" s="173">
        <v>32640</v>
      </c>
      <c r="E63" s="170"/>
      <c r="F63" s="170">
        <v>266.7</v>
      </c>
      <c r="G63" s="170">
        <v>8910</v>
      </c>
      <c r="H63" s="87">
        <v>6642</v>
      </c>
      <c r="I63" s="103">
        <v>48458.7</v>
      </c>
      <c r="J63" s="173">
        <v>32640</v>
      </c>
      <c r="K63" s="170"/>
      <c r="L63" s="170">
        <v>276.7</v>
      </c>
      <c r="M63" s="170">
        <v>9072</v>
      </c>
      <c r="N63" s="87">
        <v>6786</v>
      </c>
      <c r="O63" s="103">
        <f t="shared" si="8"/>
        <v>48774.7</v>
      </c>
      <c r="P63" s="170">
        <f t="shared" si="9"/>
        <v>316</v>
      </c>
      <c r="Q63" s="138">
        <f t="shared" si="10"/>
        <v>0.006521016865908496</v>
      </c>
      <c r="R63" s="20"/>
      <c r="S63" s="12"/>
      <c r="T63" s="12"/>
      <c r="U63" s="12"/>
      <c r="V63" s="12"/>
    </row>
    <row r="64" spans="1:22" s="13" customFormat="1" ht="12.75">
      <c r="A64" s="68"/>
      <c r="B64" s="67"/>
      <c r="C64" s="66" t="s">
        <v>63</v>
      </c>
      <c r="D64" s="173">
        <v>30750</v>
      </c>
      <c r="E64" s="170"/>
      <c r="F64" s="170">
        <v>266.7</v>
      </c>
      <c r="G64" s="170">
        <v>8910</v>
      </c>
      <c r="H64" s="87">
        <v>6642</v>
      </c>
      <c r="I64" s="103">
        <v>46568.7</v>
      </c>
      <c r="J64" s="173">
        <v>31980</v>
      </c>
      <c r="K64" s="170"/>
      <c r="L64" s="170">
        <v>276.7</v>
      </c>
      <c r="M64" s="170">
        <v>9072</v>
      </c>
      <c r="N64" s="87">
        <v>6786</v>
      </c>
      <c r="O64" s="103">
        <f t="shared" si="8"/>
        <v>48114.7</v>
      </c>
      <c r="P64" s="170">
        <f t="shared" si="9"/>
        <v>1546</v>
      </c>
      <c r="Q64" s="138">
        <f t="shared" si="10"/>
        <v>0.03319826407007282</v>
      </c>
      <c r="R64" s="20"/>
      <c r="S64" s="12"/>
      <c r="T64" s="12"/>
      <c r="U64" s="12"/>
      <c r="V64" s="12"/>
    </row>
    <row r="65" spans="1:23" s="13" customFormat="1" ht="12.75">
      <c r="A65" s="68"/>
      <c r="B65" s="67"/>
      <c r="C65" s="66" t="s">
        <v>75</v>
      </c>
      <c r="D65" s="173">
        <v>20100</v>
      </c>
      <c r="E65" s="170"/>
      <c r="F65" s="170">
        <v>266.7</v>
      </c>
      <c r="G65" s="170">
        <v>8910</v>
      </c>
      <c r="H65" s="87">
        <v>6642</v>
      </c>
      <c r="I65" s="103">
        <v>35918.7</v>
      </c>
      <c r="J65" s="173">
        <v>20100</v>
      </c>
      <c r="K65" s="170"/>
      <c r="L65" s="170">
        <v>276.7</v>
      </c>
      <c r="M65" s="170">
        <v>9072</v>
      </c>
      <c r="N65" s="87">
        <v>6786</v>
      </c>
      <c r="O65" s="103">
        <f t="shared" si="8"/>
        <v>36234.7</v>
      </c>
      <c r="P65" s="170">
        <f t="shared" si="9"/>
        <v>316</v>
      </c>
      <c r="Q65" s="138">
        <f t="shared" si="10"/>
        <v>0.008797645794530426</v>
      </c>
      <c r="R65" s="20"/>
      <c r="S65" s="12"/>
      <c r="T65" s="12"/>
      <c r="U65" s="12"/>
      <c r="V65" s="12"/>
      <c r="W65" s="107"/>
    </row>
    <row r="66" spans="1:22" s="13" customFormat="1" ht="12.75">
      <c r="A66" s="68"/>
      <c r="B66" s="67"/>
      <c r="C66" s="67" t="s">
        <v>51</v>
      </c>
      <c r="D66" s="173">
        <v>29700</v>
      </c>
      <c r="E66" s="170"/>
      <c r="F66" s="170">
        <v>266.7</v>
      </c>
      <c r="G66" s="170">
        <v>8910</v>
      </c>
      <c r="H66" s="87">
        <v>6642</v>
      </c>
      <c r="I66" s="103">
        <v>45518.7</v>
      </c>
      <c r="J66" s="173">
        <v>30600</v>
      </c>
      <c r="K66" s="170"/>
      <c r="L66" s="170">
        <v>276.7</v>
      </c>
      <c r="M66" s="170">
        <v>9072</v>
      </c>
      <c r="N66" s="87">
        <v>6786</v>
      </c>
      <c r="O66" s="103">
        <f t="shared" si="8"/>
        <v>46734.7</v>
      </c>
      <c r="P66" s="170">
        <f t="shared" si="9"/>
        <v>1216</v>
      </c>
      <c r="Q66" s="138">
        <f t="shared" si="10"/>
        <v>0.02671429544341117</v>
      </c>
      <c r="R66" s="20"/>
      <c r="S66" s="12"/>
      <c r="T66" s="12"/>
      <c r="U66" s="12"/>
      <c r="V66" s="12"/>
    </row>
    <row r="67" spans="1:22" s="13" customFormat="1" ht="12.75">
      <c r="A67" s="68"/>
      <c r="B67" s="67"/>
      <c r="C67" s="67" t="s">
        <v>52</v>
      </c>
      <c r="D67" s="173">
        <v>29700</v>
      </c>
      <c r="E67" s="170"/>
      <c r="F67" s="170">
        <v>266.7</v>
      </c>
      <c r="G67" s="170">
        <v>8910</v>
      </c>
      <c r="H67" s="87">
        <v>6642</v>
      </c>
      <c r="I67" s="103">
        <v>45518.7</v>
      </c>
      <c r="J67" s="173">
        <v>30600</v>
      </c>
      <c r="K67" s="170"/>
      <c r="L67" s="170">
        <v>276.7</v>
      </c>
      <c r="M67" s="170">
        <v>9072</v>
      </c>
      <c r="N67" s="87">
        <v>6786</v>
      </c>
      <c r="O67" s="103">
        <f t="shared" si="8"/>
        <v>46734.7</v>
      </c>
      <c r="P67" s="170">
        <f t="shared" si="9"/>
        <v>1216</v>
      </c>
      <c r="Q67" s="138">
        <f t="shared" si="10"/>
        <v>0.02671429544341117</v>
      </c>
      <c r="R67" s="20"/>
      <c r="S67" s="12"/>
      <c r="T67" s="12"/>
      <c r="U67" s="12"/>
      <c r="V67" s="12"/>
    </row>
    <row r="68" spans="1:22" s="13" customFormat="1" ht="14.25">
      <c r="A68" s="68"/>
      <c r="B68" s="67"/>
      <c r="C68" s="67" t="s">
        <v>58</v>
      </c>
      <c r="D68" s="175">
        <v>11358</v>
      </c>
      <c r="E68" s="172"/>
      <c r="F68" s="73">
        <v>266.7</v>
      </c>
      <c r="G68" s="73">
        <v>8910</v>
      </c>
      <c r="H68" s="74">
        <v>6642</v>
      </c>
      <c r="I68" s="104">
        <v>27176.7</v>
      </c>
      <c r="J68" s="50">
        <v>11466</v>
      </c>
      <c r="K68" s="73"/>
      <c r="L68" s="73">
        <v>276.7</v>
      </c>
      <c r="M68" s="172">
        <v>9072</v>
      </c>
      <c r="N68" s="91">
        <v>6786</v>
      </c>
      <c r="O68" s="104">
        <f t="shared" si="8"/>
        <v>27600.7</v>
      </c>
      <c r="P68" s="172">
        <f t="shared" si="9"/>
        <v>424</v>
      </c>
      <c r="Q68" s="140">
        <f t="shared" si="10"/>
        <v>0.015601599899914264</v>
      </c>
      <c r="R68" s="20"/>
      <c r="S68" s="12"/>
      <c r="T68" s="12"/>
      <c r="U68" s="12"/>
      <c r="V68" s="12"/>
    </row>
    <row r="69" spans="1:22" s="13" customFormat="1" ht="12.75">
      <c r="A69" s="69"/>
      <c r="B69" s="70" t="s">
        <v>12</v>
      </c>
      <c r="C69" s="70"/>
      <c r="D69" s="143"/>
      <c r="E69" s="142"/>
      <c r="F69" s="142"/>
      <c r="G69" s="142"/>
      <c r="H69" s="142"/>
      <c r="I69" s="180"/>
      <c r="J69" s="173"/>
      <c r="K69" s="142"/>
      <c r="L69" s="142"/>
      <c r="M69" s="142"/>
      <c r="N69" s="142"/>
      <c r="O69" s="180"/>
      <c r="P69" s="170"/>
      <c r="Q69" s="138"/>
      <c r="R69" s="20"/>
      <c r="S69" s="12"/>
      <c r="T69" s="12"/>
      <c r="U69" s="12"/>
      <c r="V69" s="12"/>
    </row>
    <row r="70" spans="1:22" s="13" customFormat="1" ht="12.75">
      <c r="A70" s="68"/>
      <c r="B70" s="67"/>
      <c r="C70" s="67" t="s">
        <v>53</v>
      </c>
      <c r="D70" s="86">
        <v>33663</v>
      </c>
      <c r="E70" s="85"/>
      <c r="F70" s="85">
        <v>26221.7</v>
      </c>
      <c r="G70" s="85">
        <v>8910</v>
      </c>
      <c r="H70" s="87">
        <v>6642</v>
      </c>
      <c r="I70" s="103">
        <v>75436.7</v>
      </c>
      <c r="J70" s="173">
        <v>34639</v>
      </c>
      <c r="K70" s="85"/>
      <c r="L70" s="85">
        <v>26231.7</v>
      </c>
      <c r="M70" s="85">
        <v>9072</v>
      </c>
      <c r="N70" s="87">
        <v>6786</v>
      </c>
      <c r="O70" s="103">
        <f t="shared" si="8"/>
        <v>76728.7</v>
      </c>
      <c r="P70" s="86">
        <f t="shared" si="9"/>
        <v>1292</v>
      </c>
      <c r="Q70" s="138">
        <f t="shared" si="10"/>
        <v>0.017126942191267647</v>
      </c>
      <c r="R70" s="20"/>
      <c r="S70" s="12"/>
      <c r="T70" s="12"/>
      <c r="U70" s="12"/>
      <c r="V70" s="12"/>
    </row>
    <row r="71" spans="1:22" s="13" customFormat="1" ht="12.75">
      <c r="A71" s="68"/>
      <c r="B71" s="67"/>
      <c r="C71" s="67" t="s">
        <v>54</v>
      </c>
      <c r="D71" s="86">
        <v>30889</v>
      </c>
      <c r="E71" s="85"/>
      <c r="F71" s="85">
        <v>25569.7</v>
      </c>
      <c r="G71" s="85">
        <v>8910</v>
      </c>
      <c r="H71" s="87">
        <v>6642</v>
      </c>
      <c r="I71" s="103">
        <v>72010.7</v>
      </c>
      <c r="J71" s="173">
        <v>32125</v>
      </c>
      <c r="K71" s="85"/>
      <c r="L71" s="85">
        <v>25579.7</v>
      </c>
      <c r="M71" s="85">
        <v>9072</v>
      </c>
      <c r="N71" s="87">
        <v>6786</v>
      </c>
      <c r="O71" s="103">
        <f t="shared" si="8"/>
        <v>73562.7</v>
      </c>
      <c r="P71" s="86">
        <f t="shared" si="9"/>
        <v>1552</v>
      </c>
      <c r="Q71" s="138">
        <f t="shared" si="10"/>
        <v>0.02155235263648319</v>
      </c>
      <c r="R71" s="20"/>
      <c r="S71" s="12"/>
      <c r="T71" s="12"/>
      <c r="U71" s="12"/>
      <c r="V71" s="12"/>
    </row>
    <row r="72" spans="1:22" s="13" customFormat="1" ht="12.75">
      <c r="A72" s="68"/>
      <c r="B72" s="67"/>
      <c r="C72" s="75" t="s">
        <v>45</v>
      </c>
      <c r="D72" s="86">
        <v>28920</v>
      </c>
      <c r="E72" s="85"/>
      <c r="F72" s="89">
        <v>266.7</v>
      </c>
      <c r="G72" s="85">
        <v>8910</v>
      </c>
      <c r="H72" s="87">
        <v>6642</v>
      </c>
      <c r="I72" s="103">
        <v>44738.7</v>
      </c>
      <c r="J72" s="173">
        <v>31260</v>
      </c>
      <c r="K72" s="89"/>
      <c r="L72" s="89">
        <v>276.7</v>
      </c>
      <c r="M72" s="85">
        <v>9072</v>
      </c>
      <c r="N72" s="87">
        <v>6786</v>
      </c>
      <c r="O72" s="103">
        <f t="shared" si="8"/>
        <v>47394.7</v>
      </c>
      <c r="P72" s="86">
        <f t="shared" si="9"/>
        <v>2656</v>
      </c>
      <c r="Q72" s="138">
        <f t="shared" si="10"/>
        <v>0.05936694629034818</v>
      </c>
      <c r="R72" s="20"/>
      <c r="S72" s="12"/>
      <c r="T72" s="12"/>
      <c r="U72" s="12"/>
      <c r="V72" s="12"/>
    </row>
    <row r="73" spans="1:22" s="13" customFormat="1" ht="12.75">
      <c r="A73" s="68"/>
      <c r="B73" s="67"/>
      <c r="C73" s="75" t="s">
        <v>38</v>
      </c>
      <c r="D73" s="86">
        <v>29700</v>
      </c>
      <c r="E73" s="85"/>
      <c r="F73" s="89">
        <v>266.7</v>
      </c>
      <c r="G73" s="85">
        <v>8910</v>
      </c>
      <c r="H73" s="87">
        <v>6642</v>
      </c>
      <c r="I73" s="103">
        <v>45518.7</v>
      </c>
      <c r="J73" s="173">
        <v>30600</v>
      </c>
      <c r="K73" s="89"/>
      <c r="L73" s="89">
        <v>276.7</v>
      </c>
      <c r="M73" s="85">
        <v>9072</v>
      </c>
      <c r="N73" s="87">
        <v>6786</v>
      </c>
      <c r="O73" s="103">
        <f t="shared" si="8"/>
        <v>46734.7</v>
      </c>
      <c r="P73" s="86">
        <f t="shared" si="9"/>
        <v>1216</v>
      </c>
      <c r="Q73" s="138">
        <f t="shared" si="10"/>
        <v>0.02671429544341117</v>
      </c>
      <c r="R73" s="20"/>
      <c r="S73" s="12"/>
      <c r="T73" s="12"/>
      <c r="U73" s="12"/>
      <c r="V73" s="12"/>
    </row>
    <row r="74" spans="1:22" s="58" customFormat="1" ht="13.5" thickBot="1">
      <c r="A74" s="71"/>
      <c r="B74" s="72"/>
      <c r="C74" s="76" t="s">
        <v>46</v>
      </c>
      <c r="D74" s="93">
        <v>38891</v>
      </c>
      <c r="E74" s="94"/>
      <c r="F74" s="94">
        <v>266.7</v>
      </c>
      <c r="G74" s="94">
        <v>8910</v>
      </c>
      <c r="H74" s="95">
        <v>6642</v>
      </c>
      <c r="I74" s="112">
        <v>54709.7</v>
      </c>
      <c r="J74" s="174">
        <v>39280</v>
      </c>
      <c r="K74" s="94"/>
      <c r="L74" s="94">
        <v>276.7</v>
      </c>
      <c r="M74" s="94">
        <v>9072</v>
      </c>
      <c r="N74" s="95">
        <v>6786</v>
      </c>
      <c r="O74" s="112">
        <f t="shared" si="8"/>
        <v>55414.7</v>
      </c>
      <c r="P74" s="93">
        <f t="shared" si="9"/>
        <v>705</v>
      </c>
      <c r="Q74" s="141">
        <f t="shared" si="10"/>
        <v>0.01288619751159301</v>
      </c>
      <c r="R74" s="59"/>
      <c r="S74" s="57"/>
      <c r="T74" s="57"/>
      <c r="U74" s="57"/>
      <c r="V74" s="57"/>
    </row>
    <row r="75" spans="1:24" s="7" customFormat="1" ht="18.75" customHeight="1">
      <c r="A75" s="4"/>
      <c r="B75" s="8" t="s">
        <v>26</v>
      </c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6"/>
      <c r="T75" s="6"/>
      <c r="U75" s="6"/>
      <c r="V75" s="6"/>
      <c r="W75" s="6"/>
      <c r="X75" s="6"/>
    </row>
    <row r="76" spans="1:24" s="7" customFormat="1" ht="18.75" customHeight="1">
      <c r="A76" s="82"/>
      <c r="B76" s="83"/>
      <c r="C76" s="219" t="s">
        <v>66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81"/>
      <c r="S76" s="6"/>
      <c r="T76" s="6"/>
      <c r="U76" s="6"/>
      <c r="V76" s="6"/>
      <c r="W76" s="6"/>
      <c r="X76" s="6"/>
    </row>
    <row r="77" spans="1:22" s="13" customFormat="1" ht="14.25" customHeight="1">
      <c r="A77" s="17"/>
      <c r="B77" s="17"/>
      <c r="C77" s="219" t="s">
        <v>78</v>
      </c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20"/>
      <c r="R77" s="12"/>
      <c r="S77" s="12"/>
      <c r="T77" s="12"/>
      <c r="U77" s="12"/>
      <c r="V77" s="12"/>
    </row>
    <row r="78" spans="3:22" s="13" customFormat="1" ht="25.5" customHeight="1">
      <c r="C78" s="265" t="s">
        <v>60</v>
      </c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12"/>
      <c r="S78" s="12"/>
      <c r="T78" s="12"/>
      <c r="U78" s="12"/>
      <c r="V78" s="12"/>
    </row>
    <row r="79" spans="3:22" s="13" customFormat="1" ht="12.75">
      <c r="C79" s="217" t="s">
        <v>27</v>
      </c>
      <c r="D79" s="217"/>
      <c r="E79" s="217"/>
      <c r="F79" s="217"/>
      <c r="G79" s="217"/>
      <c r="H79" s="217"/>
      <c r="I79" s="221"/>
      <c r="J79" s="217"/>
      <c r="K79" s="217"/>
      <c r="L79" s="217"/>
      <c r="M79" s="217"/>
      <c r="N79" s="217"/>
      <c r="O79" s="221"/>
      <c r="P79" s="217"/>
      <c r="Q79" s="221"/>
      <c r="R79" s="12"/>
      <c r="S79" s="12"/>
      <c r="T79" s="12"/>
      <c r="U79" s="12"/>
      <c r="V79" s="12"/>
    </row>
    <row r="80" spans="1:22" s="13" customFormat="1" ht="12.75">
      <c r="A80" s="17"/>
      <c r="B80" s="17"/>
      <c r="C80" s="217" t="s">
        <v>81</v>
      </c>
      <c r="D80" s="217"/>
      <c r="E80" s="217"/>
      <c r="F80" s="217"/>
      <c r="G80" s="217"/>
      <c r="H80" s="217"/>
      <c r="I80" s="221"/>
      <c r="J80" s="217"/>
      <c r="K80" s="217"/>
      <c r="L80" s="217"/>
      <c r="M80" s="217"/>
      <c r="N80" s="217"/>
      <c r="O80" s="221"/>
      <c r="P80" s="217"/>
      <c r="Q80" s="221"/>
      <c r="R80" s="12"/>
      <c r="S80" s="12"/>
      <c r="T80" s="12"/>
      <c r="U80" s="12"/>
      <c r="V80" s="12"/>
    </row>
    <row r="81" spans="1:22" s="55" customFormat="1" ht="12.75">
      <c r="A81" s="56"/>
      <c r="B81" s="56"/>
      <c r="C81" s="219" t="s">
        <v>82</v>
      </c>
      <c r="D81" s="217"/>
      <c r="E81" s="217"/>
      <c r="F81" s="217"/>
      <c r="G81" s="217"/>
      <c r="H81" s="217"/>
      <c r="I81" s="221"/>
      <c r="J81" s="217"/>
      <c r="K81" s="217"/>
      <c r="L81" s="217"/>
      <c r="M81" s="217"/>
      <c r="N81" s="217"/>
      <c r="O81" s="221"/>
      <c r="P81" s="217"/>
      <c r="Q81" s="221"/>
      <c r="R81" s="54"/>
      <c r="S81" s="54"/>
      <c r="T81" s="54"/>
      <c r="U81" s="54"/>
      <c r="V81" s="54"/>
    </row>
    <row r="82" spans="3:17" ht="12.75">
      <c r="C82" s="218" t="s">
        <v>64</v>
      </c>
      <c r="D82" s="217"/>
      <c r="E82" s="217"/>
      <c r="F82" s="217"/>
      <c r="G82" s="217"/>
      <c r="H82" s="217"/>
      <c r="I82" s="221"/>
      <c r="J82" s="217"/>
      <c r="K82" s="217"/>
      <c r="L82" s="217"/>
      <c r="M82" s="217"/>
      <c r="N82" s="217"/>
      <c r="O82" s="221"/>
      <c r="P82" s="217"/>
      <c r="Q82" s="221"/>
    </row>
  </sheetData>
  <sheetProtection/>
  <mergeCells count="9">
    <mergeCell ref="D5:I5"/>
    <mergeCell ref="J5:O5"/>
    <mergeCell ref="P5:Q5"/>
    <mergeCell ref="P4:Q4"/>
    <mergeCell ref="C78:Q78"/>
    <mergeCell ref="D6:E6"/>
    <mergeCell ref="D7:E7"/>
    <mergeCell ref="J6:K6"/>
    <mergeCell ref="J7:K7"/>
  </mergeCells>
  <printOptions horizontalCentered="1"/>
  <pageMargins left="0.25" right="0.25" top="0.75" bottom="0.75" header="0.3" footer="0.3"/>
  <pageSetup fitToHeight="2" fitToWidth="1" horizontalDpi="600" verticalDpi="600" orientation="landscape" scale="76" r:id="rId1"/>
  <rowBreaks count="1" manualBreakCount="1">
    <brk id="4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82"/>
  <sheetViews>
    <sheetView showGridLines="0" view="pageBreakPreview" zoomScaleNormal="75" zoomScaleSheetLayoutView="100" zoomScalePageLayoutView="0" workbookViewId="0" topLeftCell="A1">
      <selection activeCell="Q1" sqref="Q1"/>
    </sheetView>
  </sheetViews>
  <sheetFormatPr defaultColWidth="9.140625" defaultRowHeight="12.75"/>
  <cols>
    <col min="1" max="1" width="2.00390625" style="15" customWidth="1"/>
    <col min="2" max="2" width="2.28125" style="15" customWidth="1"/>
    <col min="3" max="3" width="35.00390625" style="15" customWidth="1"/>
    <col min="4" max="4" width="9.8515625" style="15" customWidth="1"/>
    <col min="5" max="5" width="0.85546875" style="15" customWidth="1"/>
    <col min="6" max="7" width="8.8515625" style="15" customWidth="1"/>
    <col min="8" max="8" width="10.00390625" style="21" customWidth="1"/>
    <col min="9" max="9" width="10.00390625" style="15" customWidth="1"/>
    <col min="10" max="10" width="9.00390625" style="15" customWidth="1"/>
    <col min="11" max="11" width="1.8515625" style="15" customWidth="1"/>
    <col min="12" max="12" width="8.8515625" style="15" customWidth="1"/>
    <col min="13" max="13" width="8.8515625" style="21" customWidth="1"/>
    <col min="14" max="14" width="9.57421875" style="15" customWidth="1"/>
    <col min="15" max="15" width="9.140625" style="21" customWidth="1"/>
    <col min="16" max="16" width="10.8515625" style="14" customWidth="1"/>
    <col min="17" max="17" width="9.8515625" style="14" customWidth="1"/>
    <col min="18" max="23" width="8.8515625" style="14" customWidth="1"/>
    <col min="24" max="16384" width="9.140625" style="15" customWidth="1"/>
  </cols>
  <sheetData>
    <row r="1" spans="1:25" ht="18">
      <c r="A1" s="255" t="s">
        <v>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X1" s="14"/>
      <c r="Y1" s="14"/>
    </row>
    <row r="2" spans="1:25" ht="18">
      <c r="A2" s="261" t="s">
        <v>94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X2" s="14"/>
      <c r="Y2" s="14"/>
    </row>
    <row r="3" spans="1:23" s="99" customFormat="1" ht="18.75" thickBo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98"/>
      <c r="S3" s="98"/>
      <c r="T3" s="98"/>
      <c r="U3" s="98"/>
      <c r="V3" s="98"/>
      <c r="W3" s="98"/>
    </row>
    <row r="4" spans="1:25" s="1" customFormat="1" ht="12.75">
      <c r="A4" s="250"/>
      <c r="B4" s="234"/>
      <c r="C4" s="234"/>
      <c r="D4" s="251"/>
      <c r="E4" s="236"/>
      <c r="F4" s="236"/>
      <c r="G4" s="236"/>
      <c r="H4" s="236"/>
      <c r="I4" s="237"/>
      <c r="J4" s="236"/>
      <c r="K4" s="236"/>
      <c r="L4" s="236"/>
      <c r="M4" s="236"/>
      <c r="N4" s="236"/>
      <c r="O4" s="237"/>
      <c r="P4" s="266" t="s">
        <v>0</v>
      </c>
      <c r="Q4" s="274"/>
      <c r="R4" s="2"/>
      <c r="S4" s="2"/>
      <c r="T4" s="2"/>
      <c r="U4" s="2"/>
      <c r="V4" s="2"/>
      <c r="W4" s="2"/>
      <c r="X4" s="2"/>
      <c r="Y4" s="2"/>
    </row>
    <row r="5" spans="1:25" s="1" customFormat="1" ht="13.5" thickBot="1">
      <c r="A5" s="252"/>
      <c r="B5" s="239"/>
      <c r="C5" s="239"/>
      <c r="D5" s="275" t="s">
        <v>65</v>
      </c>
      <c r="E5" s="271"/>
      <c r="F5" s="271"/>
      <c r="G5" s="271"/>
      <c r="H5" s="271"/>
      <c r="I5" s="276"/>
      <c r="J5" s="271" t="s">
        <v>67</v>
      </c>
      <c r="K5" s="272"/>
      <c r="L5" s="272"/>
      <c r="M5" s="272"/>
      <c r="N5" s="272"/>
      <c r="O5" s="273"/>
      <c r="P5" s="268" t="s">
        <v>20</v>
      </c>
      <c r="Q5" s="273"/>
      <c r="R5" s="2"/>
      <c r="S5" s="2"/>
      <c r="T5" s="2"/>
      <c r="U5" s="2"/>
      <c r="V5" s="2"/>
      <c r="W5" s="2"/>
      <c r="X5" s="2"/>
      <c r="Y5" s="2"/>
    </row>
    <row r="6" spans="1:25" s="1" customFormat="1" ht="14.25">
      <c r="A6" s="252"/>
      <c r="B6" s="239"/>
      <c r="C6" s="239"/>
      <c r="D6" s="266" t="s">
        <v>59</v>
      </c>
      <c r="E6" s="267"/>
      <c r="F6" s="241" t="s">
        <v>59</v>
      </c>
      <c r="G6" s="241" t="s">
        <v>59</v>
      </c>
      <c r="H6" s="241" t="s">
        <v>59</v>
      </c>
      <c r="I6" s="242" t="s">
        <v>59</v>
      </c>
      <c r="J6" s="266" t="s">
        <v>88</v>
      </c>
      <c r="K6" s="267"/>
      <c r="L6" s="241" t="s">
        <v>68</v>
      </c>
      <c r="M6" s="241" t="s">
        <v>68</v>
      </c>
      <c r="N6" s="241" t="s">
        <v>68</v>
      </c>
      <c r="O6" s="242" t="s">
        <v>68</v>
      </c>
      <c r="P6" s="243" t="s">
        <v>16</v>
      </c>
      <c r="Q6" s="244" t="s">
        <v>17</v>
      </c>
      <c r="R6" s="2"/>
      <c r="S6" s="2"/>
      <c r="T6" s="2"/>
      <c r="U6" s="2"/>
      <c r="V6" s="2"/>
      <c r="W6" s="2"/>
      <c r="X6" s="2"/>
      <c r="Y6" s="2"/>
    </row>
    <row r="7" spans="1:25" s="1" customFormat="1" ht="15" thickBot="1">
      <c r="A7" s="262"/>
      <c r="B7" s="263"/>
      <c r="C7" s="246"/>
      <c r="D7" s="268" t="s">
        <v>19</v>
      </c>
      <c r="E7" s="269"/>
      <c r="F7" s="247" t="s">
        <v>89</v>
      </c>
      <c r="G7" s="247" t="s">
        <v>90</v>
      </c>
      <c r="H7" s="247" t="s">
        <v>91</v>
      </c>
      <c r="I7" s="248" t="s">
        <v>18</v>
      </c>
      <c r="J7" s="268" t="s">
        <v>19</v>
      </c>
      <c r="K7" s="269"/>
      <c r="L7" s="247" t="s">
        <v>89</v>
      </c>
      <c r="M7" s="247" t="s">
        <v>90</v>
      </c>
      <c r="N7" s="247" t="s">
        <v>91</v>
      </c>
      <c r="O7" s="248" t="s">
        <v>18</v>
      </c>
      <c r="P7" s="243" t="s">
        <v>0</v>
      </c>
      <c r="Q7" s="249" t="s">
        <v>0</v>
      </c>
      <c r="R7" s="2"/>
      <c r="S7" s="2"/>
      <c r="T7" s="2"/>
      <c r="U7" s="2"/>
      <c r="V7" s="2"/>
      <c r="W7" s="2"/>
      <c r="X7" s="2"/>
      <c r="Y7" s="2"/>
    </row>
    <row r="8" spans="1:25" ht="16.5" thickBot="1">
      <c r="A8" s="158" t="s">
        <v>13</v>
      </c>
      <c r="B8" s="151"/>
      <c r="C8" s="151"/>
      <c r="D8" s="152"/>
      <c r="E8" s="151"/>
      <c r="F8" s="151"/>
      <c r="G8" s="151"/>
      <c r="H8" s="151"/>
      <c r="I8" s="153"/>
      <c r="J8" s="151"/>
      <c r="K8" s="151"/>
      <c r="L8" s="151"/>
      <c r="M8" s="151"/>
      <c r="N8" s="151"/>
      <c r="O8" s="153"/>
      <c r="P8" s="152"/>
      <c r="Q8" s="153"/>
      <c r="X8" s="14"/>
      <c r="Y8" s="14"/>
    </row>
    <row r="9" spans="1:25" ht="12.75">
      <c r="A9" s="100"/>
      <c r="B9" s="101" t="s">
        <v>35</v>
      </c>
      <c r="C9" s="101"/>
      <c r="D9" s="100"/>
      <c r="E9" s="101"/>
      <c r="F9" s="101"/>
      <c r="G9" s="101"/>
      <c r="H9" s="101"/>
      <c r="I9" s="108"/>
      <c r="J9" s="145"/>
      <c r="K9" s="145"/>
      <c r="L9" s="145"/>
      <c r="M9" s="145"/>
      <c r="N9" s="145"/>
      <c r="O9" s="102"/>
      <c r="P9" s="144"/>
      <c r="Q9" s="102"/>
      <c r="X9" s="14"/>
      <c r="Y9" s="14"/>
    </row>
    <row r="10" spans="1:25" ht="14.25">
      <c r="A10" s="100"/>
      <c r="B10" s="101"/>
      <c r="C10" s="101" t="s">
        <v>29</v>
      </c>
      <c r="D10" s="36">
        <v>30528</v>
      </c>
      <c r="E10" s="170"/>
      <c r="F10" s="170">
        <v>1350</v>
      </c>
      <c r="G10" s="170">
        <v>12258</v>
      </c>
      <c r="H10" s="87">
        <v>3321</v>
      </c>
      <c r="I10" s="103">
        <f>D10+F10+G10+H10</f>
        <v>47457</v>
      </c>
      <c r="J10" s="164">
        <v>31410</v>
      </c>
      <c r="K10" s="43"/>
      <c r="L10" s="224">
        <v>1504</v>
      </c>
      <c r="M10" s="170">
        <v>12810</v>
      </c>
      <c r="N10" s="87">
        <f>6786/2</f>
        <v>3393</v>
      </c>
      <c r="O10" s="103">
        <f>J10+L10+M10+N10</f>
        <v>49117</v>
      </c>
      <c r="P10" s="173">
        <f>O10-I10</f>
        <v>1660</v>
      </c>
      <c r="Q10" s="138">
        <f>P10/I10</f>
        <v>0.03497903365151611</v>
      </c>
      <c r="X10" s="14"/>
      <c r="Y10" s="14"/>
    </row>
    <row r="11" spans="1:25" ht="13.5" customHeight="1">
      <c r="A11" s="100"/>
      <c r="B11" s="101"/>
      <c r="C11" s="101" t="s">
        <v>28</v>
      </c>
      <c r="D11" s="36">
        <v>30834</v>
      </c>
      <c r="E11" s="170"/>
      <c r="F11" s="170">
        <v>1350</v>
      </c>
      <c r="G11" s="170">
        <v>12258</v>
      </c>
      <c r="H11" s="87">
        <v>3321</v>
      </c>
      <c r="I11" s="103">
        <f>D11+F11+G11+H11</f>
        <v>47763</v>
      </c>
      <c r="J11" s="170">
        <v>31734</v>
      </c>
      <c r="K11" s="43"/>
      <c r="L11" s="224">
        <v>1504</v>
      </c>
      <c r="M11" s="170">
        <v>12810</v>
      </c>
      <c r="N11" s="87">
        <f>6786/2</f>
        <v>3393</v>
      </c>
      <c r="O11" s="103">
        <f>J11+L11+M11+N11</f>
        <v>49441</v>
      </c>
      <c r="P11" s="173">
        <f>O11-I11</f>
        <v>1678</v>
      </c>
      <c r="Q11" s="138">
        <f>P11/I11</f>
        <v>0.03513179657894186</v>
      </c>
      <c r="X11" s="14"/>
      <c r="Y11" s="14"/>
    </row>
    <row r="12" spans="1:25" ht="14.25">
      <c r="A12" s="100"/>
      <c r="B12" s="101"/>
      <c r="C12" s="101" t="s">
        <v>3</v>
      </c>
      <c r="D12" s="36">
        <v>33102</v>
      </c>
      <c r="E12" s="170"/>
      <c r="F12" s="170">
        <v>1350</v>
      </c>
      <c r="G12" s="170">
        <v>12258</v>
      </c>
      <c r="H12" s="87">
        <v>3321</v>
      </c>
      <c r="I12" s="103">
        <f>D12+F12+G12+H12</f>
        <v>50031</v>
      </c>
      <c r="J12" s="164">
        <v>34056</v>
      </c>
      <c r="K12" s="43"/>
      <c r="L12" s="224">
        <v>1504</v>
      </c>
      <c r="M12" s="170">
        <v>12810</v>
      </c>
      <c r="N12" s="87">
        <f>6786/2</f>
        <v>3393</v>
      </c>
      <c r="O12" s="103">
        <f>J12+L12+M12+N12</f>
        <v>51763</v>
      </c>
      <c r="P12" s="173">
        <f>O12-I12</f>
        <v>1732</v>
      </c>
      <c r="Q12" s="138">
        <f>P12/I12</f>
        <v>0.03461853650736543</v>
      </c>
      <c r="X12" s="14"/>
      <c r="Y12" s="14"/>
    </row>
    <row r="13" spans="1:25" ht="14.25">
      <c r="A13" s="34"/>
      <c r="B13" s="35"/>
      <c r="C13" s="190" t="s">
        <v>2</v>
      </c>
      <c r="D13" s="37">
        <v>33804</v>
      </c>
      <c r="E13" s="172"/>
      <c r="F13" s="172">
        <v>1350</v>
      </c>
      <c r="G13" s="172">
        <v>12258</v>
      </c>
      <c r="H13" s="91">
        <v>3321</v>
      </c>
      <c r="I13" s="104">
        <f>D13+F13+G13+H13</f>
        <v>50733</v>
      </c>
      <c r="J13" s="172">
        <v>34416</v>
      </c>
      <c r="K13" s="39"/>
      <c r="L13" s="222">
        <v>1504</v>
      </c>
      <c r="M13" s="172">
        <v>12810</v>
      </c>
      <c r="N13" s="91">
        <f>6786/2</f>
        <v>3393</v>
      </c>
      <c r="O13" s="104">
        <f>J13+L13+M13+N13</f>
        <v>52123</v>
      </c>
      <c r="P13" s="175">
        <f>O13-I13</f>
        <v>1390</v>
      </c>
      <c r="Q13" s="140">
        <f>P13/I13</f>
        <v>0.027398340330751187</v>
      </c>
      <c r="R13" s="16"/>
      <c r="X13" s="14"/>
      <c r="Y13" s="14"/>
    </row>
    <row r="14" spans="1:21" s="99" customFormat="1" ht="14.25">
      <c r="A14" s="100"/>
      <c r="B14" s="101" t="s">
        <v>69</v>
      </c>
      <c r="C14" s="107"/>
      <c r="D14" s="36"/>
      <c r="E14" s="170"/>
      <c r="F14" s="170"/>
      <c r="G14" s="170"/>
      <c r="H14" s="87"/>
      <c r="I14" s="103"/>
      <c r="J14" s="164"/>
      <c r="K14" s="43"/>
      <c r="L14" s="224"/>
      <c r="M14" s="170"/>
      <c r="N14" s="87"/>
      <c r="O14" s="103"/>
      <c r="P14" s="173"/>
      <c r="Q14" s="138"/>
      <c r="R14" s="16"/>
      <c r="S14" s="98"/>
      <c r="T14" s="98"/>
      <c r="U14" s="98"/>
    </row>
    <row r="15" spans="1:21" s="99" customFormat="1" ht="14.25">
      <c r="A15" s="100"/>
      <c r="B15" s="101"/>
      <c r="C15" s="101" t="s">
        <v>29</v>
      </c>
      <c r="D15" s="36">
        <f>15264*2</f>
        <v>30528</v>
      </c>
      <c r="E15" s="170"/>
      <c r="F15" s="170">
        <v>1587</v>
      </c>
      <c r="G15" s="170">
        <v>12258</v>
      </c>
      <c r="H15" s="87">
        <v>3321</v>
      </c>
      <c r="I15" s="103">
        <f>D15+F15+G15+H15</f>
        <v>47694</v>
      </c>
      <c r="J15" s="164">
        <v>32910</v>
      </c>
      <c r="K15" s="43"/>
      <c r="L15" s="224">
        <v>1504</v>
      </c>
      <c r="M15" s="170">
        <v>12810</v>
      </c>
      <c r="N15" s="87">
        <f>6786/2</f>
        <v>3393</v>
      </c>
      <c r="O15" s="103">
        <f>J15+L15+M15+N15</f>
        <v>50617</v>
      </c>
      <c r="P15" s="173">
        <f>O15-I15</f>
        <v>2923</v>
      </c>
      <c r="Q15" s="138">
        <f>P15/I15</f>
        <v>0.06128653499391957</v>
      </c>
      <c r="R15" s="16"/>
      <c r="S15" s="98"/>
      <c r="T15" s="98"/>
      <c r="U15" s="98"/>
    </row>
    <row r="16" spans="1:21" s="99" customFormat="1" ht="14.25">
      <c r="A16" s="100"/>
      <c r="B16" s="101"/>
      <c r="C16" s="101" t="s">
        <v>28</v>
      </c>
      <c r="D16" s="36">
        <f>15417*2</f>
        <v>30834</v>
      </c>
      <c r="E16" s="170"/>
      <c r="F16" s="170">
        <v>1587</v>
      </c>
      <c r="G16" s="170">
        <v>12258</v>
      </c>
      <c r="H16" s="87">
        <v>3321</v>
      </c>
      <c r="I16" s="103">
        <f>D16+F16+G16+H16</f>
        <v>48000</v>
      </c>
      <c r="J16" s="164">
        <v>33234</v>
      </c>
      <c r="K16" s="43"/>
      <c r="L16" s="224">
        <v>1504</v>
      </c>
      <c r="M16" s="170">
        <v>12810</v>
      </c>
      <c r="N16" s="87">
        <f>6786/2</f>
        <v>3393</v>
      </c>
      <c r="O16" s="103">
        <f>J16+L16+M16+N16</f>
        <v>50941</v>
      </c>
      <c r="P16" s="173">
        <f>O16-I16</f>
        <v>2941</v>
      </c>
      <c r="Q16" s="138">
        <f>P16/I16</f>
        <v>0.06127083333333333</v>
      </c>
      <c r="R16" s="16"/>
      <c r="S16" s="98"/>
      <c r="T16" s="98"/>
      <c r="U16" s="98"/>
    </row>
    <row r="17" spans="1:21" s="99" customFormat="1" ht="14.25">
      <c r="A17" s="100"/>
      <c r="B17" s="101"/>
      <c r="C17" s="101" t="s">
        <v>3</v>
      </c>
      <c r="D17" s="36">
        <f>16551*2</f>
        <v>33102</v>
      </c>
      <c r="E17" s="170"/>
      <c r="F17" s="170">
        <v>1587</v>
      </c>
      <c r="G17" s="170">
        <v>12258</v>
      </c>
      <c r="H17" s="87">
        <v>3321</v>
      </c>
      <c r="I17" s="103">
        <f>D17+F17+G17+H17</f>
        <v>50268</v>
      </c>
      <c r="J17" s="170">
        <v>35556</v>
      </c>
      <c r="K17" s="43"/>
      <c r="L17" s="224">
        <v>1504</v>
      </c>
      <c r="M17" s="170">
        <v>12810</v>
      </c>
      <c r="N17" s="87">
        <f>6786/2</f>
        <v>3393</v>
      </c>
      <c r="O17" s="103">
        <f>J17+L17+M17+N17</f>
        <v>53263</v>
      </c>
      <c r="P17" s="173">
        <f>O17-I17</f>
        <v>2995</v>
      </c>
      <c r="Q17" s="138">
        <f>P17/I17</f>
        <v>0.05958064772817697</v>
      </c>
      <c r="R17" s="16"/>
      <c r="S17" s="98"/>
      <c r="T17" s="98"/>
      <c r="U17" s="98"/>
    </row>
    <row r="18" spans="1:21" s="99" customFormat="1" ht="14.25">
      <c r="A18" s="100"/>
      <c r="B18" s="35"/>
      <c r="C18" s="35" t="s">
        <v>2</v>
      </c>
      <c r="D18" s="37">
        <f>16902*2</f>
        <v>33804</v>
      </c>
      <c r="E18" s="172"/>
      <c r="F18" s="172">
        <v>1587</v>
      </c>
      <c r="G18" s="172">
        <v>12258</v>
      </c>
      <c r="H18" s="91">
        <v>3321</v>
      </c>
      <c r="I18" s="104">
        <f>D18+F18+G18+H18</f>
        <v>50970</v>
      </c>
      <c r="J18" s="172">
        <v>35916</v>
      </c>
      <c r="K18" s="39"/>
      <c r="L18" s="222">
        <v>1504</v>
      </c>
      <c r="M18" s="170">
        <v>12810</v>
      </c>
      <c r="N18" s="91">
        <f>6786/2</f>
        <v>3393</v>
      </c>
      <c r="O18" s="104">
        <f>J18+L18+M18+N18</f>
        <v>53623</v>
      </c>
      <c r="P18" s="175">
        <f>O18-I18</f>
        <v>2653</v>
      </c>
      <c r="Q18" s="140">
        <f>P18/I18</f>
        <v>0.05205022562291544</v>
      </c>
      <c r="R18" s="16"/>
      <c r="S18" s="98"/>
      <c r="T18" s="98"/>
      <c r="U18" s="98"/>
    </row>
    <row r="19" spans="1:25" ht="12.75">
      <c r="A19" s="105"/>
      <c r="B19" s="106" t="s">
        <v>4</v>
      </c>
      <c r="C19" s="106"/>
      <c r="D19" s="38"/>
      <c r="E19" s="142"/>
      <c r="F19" s="170"/>
      <c r="G19" s="142"/>
      <c r="H19" s="44"/>
      <c r="I19" s="103"/>
      <c r="J19" s="164"/>
      <c r="K19" s="170"/>
      <c r="L19" s="224"/>
      <c r="M19" s="142"/>
      <c r="N19" s="87"/>
      <c r="O19" s="103"/>
      <c r="P19" s="173"/>
      <c r="Q19" s="138"/>
      <c r="X19" s="14"/>
      <c r="Y19" s="14"/>
    </row>
    <row r="20" spans="1:25" ht="12.75">
      <c r="A20" s="100"/>
      <c r="B20" s="101"/>
      <c r="C20" s="101" t="s">
        <v>29</v>
      </c>
      <c r="D20" s="36">
        <f>8904*2</f>
        <v>17808</v>
      </c>
      <c r="E20" s="170"/>
      <c r="F20" s="170">
        <v>1359</v>
      </c>
      <c r="G20" s="170">
        <v>8910</v>
      </c>
      <c r="H20" s="87">
        <v>3321</v>
      </c>
      <c r="I20" s="103">
        <f aca="true" t="shared" si="0" ref="I20:I26">D20+F20+G20+H20</f>
        <v>31398</v>
      </c>
      <c r="J20" s="164">
        <v>18348</v>
      </c>
      <c r="K20" s="170"/>
      <c r="L20" s="224">
        <v>1513</v>
      </c>
      <c r="M20" s="170">
        <v>9072</v>
      </c>
      <c r="N20" s="87">
        <f aca="true" t="shared" si="1" ref="N20:N26">6786/2</f>
        <v>3393</v>
      </c>
      <c r="O20" s="103">
        <f aca="true" t="shared" si="2" ref="O20:O26">J20+L20+M20+N20</f>
        <v>32326</v>
      </c>
      <c r="P20" s="173">
        <f aca="true" t="shared" si="3" ref="P20:P25">O20-I20</f>
        <v>928</v>
      </c>
      <c r="Q20" s="138">
        <f aca="true" t="shared" si="4" ref="Q20:Q25">P20/I20</f>
        <v>0.029556022676603604</v>
      </c>
      <c r="R20" s="22"/>
      <c r="X20" s="14"/>
      <c r="Y20" s="14"/>
    </row>
    <row r="21" spans="1:25" ht="12.75">
      <c r="A21" s="100"/>
      <c r="B21" s="101"/>
      <c r="C21" s="101" t="s">
        <v>28</v>
      </c>
      <c r="D21" s="36">
        <f>9006*2</f>
        <v>18012</v>
      </c>
      <c r="E21" s="170"/>
      <c r="F21" s="170">
        <v>1359</v>
      </c>
      <c r="G21" s="170">
        <v>8910</v>
      </c>
      <c r="H21" s="87">
        <v>3321</v>
      </c>
      <c r="I21" s="103">
        <f t="shared" si="0"/>
        <v>31602</v>
      </c>
      <c r="J21" s="164">
        <v>18552</v>
      </c>
      <c r="K21" s="170"/>
      <c r="L21" s="224">
        <v>1513</v>
      </c>
      <c r="M21" s="170">
        <v>9072</v>
      </c>
      <c r="N21" s="87">
        <f t="shared" si="1"/>
        <v>3393</v>
      </c>
      <c r="O21" s="103">
        <f t="shared" si="2"/>
        <v>32530</v>
      </c>
      <c r="P21" s="173">
        <f t="shared" si="3"/>
        <v>928</v>
      </c>
      <c r="Q21" s="138">
        <f t="shared" si="4"/>
        <v>0.029365230048731095</v>
      </c>
      <c r="X21" s="14"/>
      <c r="Y21" s="14"/>
    </row>
    <row r="22" spans="1:25" ht="12.75">
      <c r="A22" s="100"/>
      <c r="B22" s="101"/>
      <c r="C22" s="101" t="s">
        <v>3</v>
      </c>
      <c r="D22" s="36">
        <f>9714*2</f>
        <v>19428</v>
      </c>
      <c r="E22" s="170"/>
      <c r="F22" s="170">
        <v>1359</v>
      </c>
      <c r="G22" s="170">
        <v>8910</v>
      </c>
      <c r="H22" s="87">
        <v>3321</v>
      </c>
      <c r="I22" s="103">
        <f t="shared" si="0"/>
        <v>33018</v>
      </c>
      <c r="J22" s="164">
        <v>20016</v>
      </c>
      <c r="K22" s="170"/>
      <c r="L22" s="224">
        <v>1513</v>
      </c>
      <c r="M22" s="170">
        <v>9072</v>
      </c>
      <c r="N22" s="87">
        <f t="shared" si="1"/>
        <v>3393</v>
      </c>
      <c r="O22" s="103">
        <f t="shared" si="2"/>
        <v>33994</v>
      </c>
      <c r="P22" s="173">
        <f t="shared" si="3"/>
        <v>976</v>
      </c>
      <c r="Q22" s="138">
        <f t="shared" si="4"/>
        <v>0.02955963413895451</v>
      </c>
      <c r="X22" s="14"/>
      <c r="Y22" s="14"/>
    </row>
    <row r="23" spans="1:25" ht="12.75">
      <c r="A23" s="100"/>
      <c r="B23" s="101"/>
      <c r="C23" s="101" t="s">
        <v>6</v>
      </c>
      <c r="D23" s="36">
        <f>10002*2</f>
        <v>20004</v>
      </c>
      <c r="E23" s="170"/>
      <c r="F23" s="170">
        <v>1359</v>
      </c>
      <c r="G23" s="170">
        <v>8910</v>
      </c>
      <c r="H23" s="87">
        <v>3321</v>
      </c>
      <c r="I23" s="103">
        <f t="shared" si="0"/>
        <v>33594</v>
      </c>
      <c r="J23" s="164">
        <v>20604</v>
      </c>
      <c r="K23" s="170"/>
      <c r="L23" s="224">
        <v>1513</v>
      </c>
      <c r="M23" s="170">
        <v>9072</v>
      </c>
      <c r="N23" s="87">
        <f t="shared" si="1"/>
        <v>3393</v>
      </c>
      <c r="O23" s="103">
        <f t="shared" si="2"/>
        <v>34582</v>
      </c>
      <c r="P23" s="173">
        <f t="shared" si="3"/>
        <v>988</v>
      </c>
      <c r="Q23" s="138">
        <f t="shared" si="4"/>
        <v>0.029410013692921354</v>
      </c>
      <c r="X23" s="14"/>
      <c r="Y23" s="14"/>
    </row>
    <row r="24" spans="1:25" ht="12.75">
      <c r="A24" s="100"/>
      <c r="B24" s="101"/>
      <c r="C24" s="101" t="s">
        <v>5</v>
      </c>
      <c r="D24" s="36">
        <f>10158*2</f>
        <v>20316</v>
      </c>
      <c r="E24" s="170"/>
      <c r="F24" s="170">
        <v>1359</v>
      </c>
      <c r="G24" s="170">
        <v>8910</v>
      </c>
      <c r="H24" s="87">
        <v>3321</v>
      </c>
      <c r="I24" s="103">
        <f t="shared" si="0"/>
        <v>33906</v>
      </c>
      <c r="J24" s="164">
        <v>20928</v>
      </c>
      <c r="K24" s="170"/>
      <c r="L24" s="224">
        <v>1513</v>
      </c>
      <c r="M24" s="170">
        <v>9072</v>
      </c>
      <c r="N24" s="87">
        <f t="shared" si="1"/>
        <v>3393</v>
      </c>
      <c r="O24" s="103">
        <f t="shared" si="2"/>
        <v>34906</v>
      </c>
      <c r="P24" s="173">
        <f t="shared" si="3"/>
        <v>1000</v>
      </c>
      <c r="Q24" s="138">
        <f t="shared" si="4"/>
        <v>0.029493305019760514</v>
      </c>
      <c r="X24" s="14"/>
      <c r="Y24" s="14"/>
    </row>
    <row r="25" spans="1:25" ht="12.75">
      <c r="A25" s="100"/>
      <c r="B25" s="101"/>
      <c r="C25" s="101" t="s">
        <v>41</v>
      </c>
      <c r="D25" s="36">
        <f>12168*2</f>
        <v>24336</v>
      </c>
      <c r="E25" s="170"/>
      <c r="F25" s="170">
        <v>1359</v>
      </c>
      <c r="G25" s="170">
        <v>8910</v>
      </c>
      <c r="H25" s="87">
        <v>3321</v>
      </c>
      <c r="I25" s="103">
        <f t="shared" si="0"/>
        <v>37926</v>
      </c>
      <c r="J25" s="164">
        <f>12168*2</f>
        <v>24336</v>
      </c>
      <c r="K25" s="170"/>
      <c r="L25" s="224">
        <v>1513</v>
      </c>
      <c r="M25" s="170">
        <v>9072</v>
      </c>
      <c r="N25" s="87">
        <f t="shared" si="1"/>
        <v>3393</v>
      </c>
      <c r="O25" s="103">
        <f t="shared" si="2"/>
        <v>38314</v>
      </c>
      <c r="P25" s="173">
        <f t="shared" si="3"/>
        <v>388</v>
      </c>
      <c r="Q25" s="138">
        <f t="shared" si="4"/>
        <v>0.010230448768654749</v>
      </c>
      <c r="X25" s="14"/>
      <c r="Y25" s="14"/>
    </row>
    <row r="26" spans="1:25" ht="13.5" thickBot="1">
      <c r="A26" s="100"/>
      <c r="B26" s="101"/>
      <c r="C26" s="107" t="s">
        <v>84</v>
      </c>
      <c r="D26" s="166">
        <f>12198*2</f>
        <v>24396</v>
      </c>
      <c r="E26" s="171"/>
      <c r="F26" s="171">
        <v>1359</v>
      </c>
      <c r="G26" s="171">
        <v>8910</v>
      </c>
      <c r="H26" s="95">
        <v>3321</v>
      </c>
      <c r="I26" s="112">
        <f t="shared" si="0"/>
        <v>37986</v>
      </c>
      <c r="J26" s="164">
        <f>12198*2</f>
        <v>24396</v>
      </c>
      <c r="K26" s="170"/>
      <c r="L26" s="224">
        <v>1513</v>
      </c>
      <c r="M26" s="170">
        <v>9072</v>
      </c>
      <c r="N26" s="87">
        <f t="shared" si="1"/>
        <v>3393</v>
      </c>
      <c r="O26" s="103">
        <f t="shared" si="2"/>
        <v>38374</v>
      </c>
      <c r="P26" s="173">
        <f>O26-I26</f>
        <v>388</v>
      </c>
      <c r="Q26" s="138">
        <f>P26/I26</f>
        <v>0.010214289475069763</v>
      </c>
      <c r="X26" s="14"/>
      <c r="Y26" s="14"/>
    </row>
    <row r="27" spans="1:25" ht="16.5" thickBot="1">
      <c r="A27" s="158" t="s">
        <v>7</v>
      </c>
      <c r="B27" s="151"/>
      <c r="C27" s="151"/>
      <c r="D27" s="152"/>
      <c r="E27" s="151"/>
      <c r="F27" s="151"/>
      <c r="G27" s="151"/>
      <c r="H27" s="151"/>
      <c r="I27" s="156"/>
      <c r="J27" s="154"/>
      <c r="K27" s="155"/>
      <c r="L27" s="155"/>
      <c r="M27" s="151"/>
      <c r="N27" s="155"/>
      <c r="O27" s="156"/>
      <c r="P27" s="154"/>
      <c r="Q27" s="153"/>
      <c r="X27" s="14"/>
      <c r="Y27" s="14"/>
    </row>
    <row r="28" spans="1:25" ht="12.75">
      <c r="A28" s="100"/>
      <c r="B28" s="101" t="s">
        <v>1</v>
      </c>
      <c r="C28" s="101"/>
      <c r="D28" s="100"/>
      <c r="E28" s="101"/>
      <c r="F28" s="87"/>
      <c r="G28" s="101"/>
      <c r="H28" s="101"/>
      <c r="I28" s="51"/>
      <c r="J28" s="52"/>
      <c r="K28" s="87"/>
      <c r="L28" s="87"/>
      <c r="M28" s="101"/>
      <c r="N28" s="147"/>
      <c r="O28" s="51"/>
      <c r="P28" s="52"/>
      <c r="Q28" s="108"/>
      <c r="U28" s="18"/>
      <c r="X28" s="14"/>
      <c r="Y28" s="14"/>
    </row>
    <row r="29" spans="1:25" ht="12.75">
      <c r="A29" s="100"/>
      <c r="B29" s="101"/>
      <c r="C29" s="101" t="s">
        <v>40</v>
      </c>
      <c r="D29" s="173">
        <v>10434</v>
      </c>
      <c r="E29" s="107"/>
      <c r="F29" s="170">
        <v>765</v>
      </c>
      <c r="G29" s="170">
        <v>8800</v>
      </c>
      <c r="H29" s="87">
        <v>3321</v>
      </c>
      <c r="I29" s="103">
        <v>23320</v>
      </c>
      <c r="J29" s="173">
        <v>8100</v>
      </c>
      <c r="K29" s="170"/>
      <c r="L29" s="170">
        <v>1009</v>
      </c>
      <c r="M29" s="170">
        <v>9150</v>
      </c>
      <c r="N29" s="87">
        <f>6786/2</f>
        <v>3393</v>
      </c>
      <c r="O29" s="103">
        <f>J29+L29+M29+N29</f>
        <v>21652</v>
      </c>
      <c r="P29" s="173">
        <f>O29-I29</f>
        <v>-1668</v>
      </c>
      <c r="Q29" s="138">
        <f>P29/I29</f>
        <v>-0.07152658662092624</v>
      </c>
      <c r="X29" s="14"/>
      <c r="Y29" s="98"/>
    </row>
    <row r="30" spans="1:25" ht="14.25">
      <c r="A30" s="100"/>
      <c r="B30" s="101"/>
      <c r="C30" s="101" t="s">
        <v>31</v>
      </c>
      <c r="D30" s="173">
        <v>10584</v>
      </c>
      <c r="E30" s="43"/>
      <c r="F30" s="170">
        <v>765</v>
      </c>
      <c r="G30" s="170">
        <v>8800</v>
      </c>
      <c r="H30" s="87">
        <v>3321</v>
      </c>
      <c r="I30" s="103">
        <v>23470</v>
      </c>
      <c r="J30" s="173">
        <v>8400</v>
      </c>
      <c r="K30" s="43"/>
      <c r="L30" s="170">
        <v>1009</v>
      </c>
      <c r="M30" s="170">
        <v>9150</v>
      </c>
      <c r="N30" s="87">
        <f>6786/2</f>
        <v>3393</v>
      </c>
      <c r="O30" s="103">
        <f>J30+L30+M30+N30</f>
        <v>21952</v>
      </c>
      <c r="P30" s="173">
        <f>O30-I30</f>
        <v>-1518</v>
      </c>
      <c r="Q30" s="138">
        <f>P30/I30</f>
        <v>-0.06467831273966766</v>
      </c>
      <c r="X30" s="14"/>
      <c r="Y30" s="14"/>
    </row>
    <row r="31" spans="1:25" ht="14.25">
      <c r="A31" s="100"/>
      <c r="B31" s="101"/>
      <c r="C31" s="101" t="s">
        <v>32</v>
      </c>
      <c r="D31" s="173">
        <v>10776</v>
      </c>
      <c r="E31" s="43"/>
      <c r="F31" s="170">
        <v>765</v>
      </c>
      <c r="G31" s="170">
        <v>8800</v>
      </c>
      <c r="H31" s="87">
        <v>3321</v>
      </c>
      <c r="I31" s="103">
        <v>23662</v>
      </c>
      <c r="J31" s="173">
        <v>8700</v>
      </c>
      <c r="K31" s="43"/>
      <c r="L31" s="170">
        <v>1009</v>
      </c>
      <c r="M31" s="170">
        <v>9150</v>
      </c>
      <c r="N31" s="87">
        <f>6786/2</f>
        <v>3393</v>
      </c>
      <c r="O31" s="103">
        <f>J31+L31+M31+N31</f>
        <v>22252</v>
      </c>
      <c r="P31" s="173">
        <f>O31-I31</f>
        <v>-1410</v>
      </c>
      <c r="Q31" s="138">
        <f>P31/I31</f>
        <v>-0.05958921477474432</v>
      </c>
      <c r="X31" s="14"/>
      <c r="Y31" s="14"/>
    </row>
    <row r="32" spans="1:25" ht="15" thickBot="1">
      <c r="A32" s="100"/>
      <c r="B32" s="101"/>
      <c r="C32" s="101" t="s">
        <v>25</v>
      </c>
      <c r="D32" s="173">
        <v>10776</v>
      </c>
      <c r="E32" s="43"/>
      <c r="F32" s="170">
        <v>765</v>
      </c>
      <c r="G32" s="170">
        <v>8800</v>
      </c>
      <c r="H32" s="87">
        <v>3321</v>
      </c>
      <c r="I32" s="103">
        <v>23662</v>
      </c>
      <c r="J32" s="173">
        <v>8700</v>
      </c>
      <c r="K32" s="43"/>
      <c r="L32" s="170">
        <v>1009</v>
      </c>
      <c r="M32" s="170">
        <v>9150</v>
      </c>
      <c r="N32" s="87">
        <f>6786/2</f>
        <v>3393</v>
      </c>
      <c r="O32" s="103">
        <f>J32+L32+M32+N32</f>
        <v>22252</v>
      </c>
      <c r="P32" s="173">
        <f>O32-I32</f>
        <v>-1410</v>
      </c>
      <c r="Q32" s="138">
        <f>P32/I32</f>
        <v>-0.05958921477474432</v>
      </c>
      <c r="X32" s="14"/>
      <c r="Y32" s="14"/>
    </row>
    <row r="33" spans="1:25" ht="12.75">
      <c r="A33" s="144"/>
      <c r="B33" s="145" t="s">
        <v>4</v>
      </c>
      <c r="C33" s="145"/>
      <c r="D33" s="61"/>
      <c r="E33" s="62"/>
      <c r="F33" s="62"/>
      <c r="G33" s="62"/>
      <c r="H33" s="147"/>
      <c r="I33" s="64"/>
      <c r="J33" s="61"/>
      <c r="K33" s="62"/>
      <c r="L33" s="62"/>
      <c r="M33" s="62"/>
      <c r="N33" s="147"/>
      <c r="O33" s="64"/>
      <c r="P33" s="62"/>
      <c r="Q33" s="48"/>
      <c r="X33" s="14"/>
      <c r="Y33" s="14"/>
    </row>
    <row r="34" spans="1:25" ht="12.75">
      <c r="A34" s="100"/>
      <c r="B34" s="101"/>
      <c r="C34" s="101" t="s">
        <v>23</v>
      </c>
      <c r="D34" s="173">
        <v>11460</v>
      </c>
      <c r="E34" s="170"/>
      <c r="F34" s="170">
        <v>765</v>
      </c>
      <c r="G34" s="170">
        <v>8910</v>
      </c>
      <c r="H34" s="87">
        <v>3321</v>
      </c>
      <c r="I34" s="103">
        <v>24456</v>
      </c>
      <c r="J34" s="173">
        <v>11760</v>
      </c>
      <c r="K34" s="170"/>
      <c r="L34" s="170">
        <v>1009</v>
      </c>
      <c r="M34" s="170">
        <v>9072</v>
      </c>
      <c r="N34" s="87">
        <f>6786/2</f>
        <v>3393</v>
      </c>
      <c r="O34" s="103">
        <f>J34+L34+M34+N34</f>
        <v>25234</v>
      </c>
      <c r="P34" s="170">
        <f>O34-I34</f>
        <v>778</v>
      </c>
      <c r="Q34" s="138">
        <f>P34/I34</f>
        <v>0.031812234216552174</v>
      </c>
      <c r="X34" s="14"/>
      <c r="Y34" s="14"/>
    </row>
    <row r="35" spans="1:25" ht="12.75">
      <c r="A35" s="100"/>
      <c r="B35" s="101"/>
      <c r="C35" s="101" t="s">
        <v>22</v>
      </c>
      <c r="D35" s="173">
        <v>11460</v>
      </c>
      <c r="E35" s="170"/>
      <c r="F35" s="170">
        <v>765</v>
      </c>
      <c r="G35" s="170">
        <v>8910</v>
      </c>
      <c r="H35" s="87">
        <v>3321</v>
      </c>
      <c r="I35" s="103">
        <v>25272</v>
      </c>
      <c r="J35" s="173">
        <v>11760</v>
      </c>
      <c r="K35" s="170"/>
      <c r="L35" s="170">
        <v>1009</v>
      </c>
      <c r="M35" s="170">
        <v>9072</v>
      </c>
      <c r="N35" s="87">
        <f>6786/2</f>
        <v>3393</v>
      </c>
      <c r="O35" s="103">
        <f>J35+L35+M35+N35</f>
        <v>25234</v>
      </c>
      <c r="P35" s="170">
        <f>O35-I35</f>
        <v>-38</v>
      </c>
      <c r="Q35" s="138">
        <f>P35/I35</f>
        <v>-0.0015036403925292813</v>
      </c>
      <c r="X35" s="14"/>
      <c r="Y35" s="14"/>
    </row>
    <row r="36" spans="1:25" ht="12.75">
      <c r="A36" s="100"/>
      <c r="B36" s="101"/>
      <c r="C36" s="101" t="s">
        <v>21</v>
      </c>
      <c r="D36" s="173">
        <v>12276</v>
      </c>
      <c r="E36" s="170"/>
      <c r="F36" s="170">
        <v>765</v>
      </c>
      <c r="G36" s="170">
        <v>8910</v>
      </c>
      <c r="H36" s="87">
        <v>3321</v>
      </c>
      <c r="I36" s="103">
        <v>25272</v>
      </c>
      <c r="J36" s="173">
        <v>12600</v>
      </c>
      <c r="K36" s="170"/>
      <c r="L36" s="170">
        <v>1009</v>
      </c>
      <c r="M36" s="170">
        <v>9072</v>
      </c>
      <c r="N36" s="87">
        <f>6786/2</f>
        <v>3393</v>
      </c>
      <c r="O36" s="103">
        <f>J36+L36+M36+N36</f>
        <v>26074</v>
      </c>
      <c r="P36" s="170">
        <f>O36-I36</f>
        <v>802</v>
      </c>
      <c r="Q36" s="138">
        <f>P36/I36</f>
        <v>0.03173472617917062</v>
      </c>
      <c r="X36" s="14"/>
      <c r="Y36" s="14"/>
    </row>
    <row r="37" spans="1:25" ht="13.5" thickBot="1">
      <c r="A37" s="100"/>
      <c r="B37" s="101"/>
      <c r="C37" s="101" t="s">
        <v>24</v>
      </c>
      <c r="D37" s="173">
        <v>12276</v>
      </c>
      <c r="E37" s="170"/>
      <c r="F37" s="170">
        <v>765</v>
      </c>
      <c r="G37" s="170">
        <v>8910</v>
      </c>
      <c r="H37" s="87">
        <v>3321</v>
      </c>
      <c r="I37" s="103">
        <v>25272</v>
      </c>
      <c r="J37" s="173">
        <v>12600</v>
      </c>
      <c r="K37" s="170"/>
      <c r="L37" s="171">
        <v>1009</v>
      </c>
      <c r="M37" s="170">
        <v>9072</v>
      </c>
      <c r="N37" s="87">
        <f>6786/2</f>
        <v>3393</v>
      </c>
      <c r="O37" s="103">
        <f>J37+L37+M37+N37</f>
        <v>26074</v>
      </c>
      <c r="P37" s="170">
        <f>O37-I37</f>
        <v>802</v>
      </c>
      <c r="Q37" s="138">
        <f>P37/I37</f>
        <v>0.03173472617917062</v>
      </c>
      <c r="X37" s="14"/>
      <c r="Y37" s="14"/>
    </row>
    <row r="38" spans="1:25" ht="16.5" thickBot="1">
      <c r="A38" s="158" t="s">
        <v>47</v>
      </c>
      <c r="B38" s="151"/>
      <c r="C38" s="151"/>
      <c r="D38" s="152"/>
      <c r="E38" s="151"/>
      <c r="F38" s="163"/>
      <c r="G38" s="155"/>
      <c r="H38" s="151"/>
      <c r="I38" s="156"/>
      <c r="J38" s="154"/>
      <c r="K38" s="155"/>
      <c r="L38" s="155"/>
      <c r="M38" s="155"/>
      <c r="N38" s="155"/>
      <c r="O38" s="156"/>
      <c r="P38" s="155"/>
      <c r="Q38" s="153"/>
      <c r="X38" s="14"/>
      <c r="Y38" s="14"/>
    </row>
    <row r="39" spans="1:25" ht="12.75">
      <c r="A39" s="144"/>
      <c r="B39" s="145" t="s">
        <v>1</v>
      </c>
      <c r="C39" s="182"/>
      <c r="D39" s="144"/>
      <c r="E39" s="145"/>
      <c r="F39" s="145"/>
      <c r="G39" s="147"/>
      <c r="H39" s="145"/>
      <c r="I39" s="148"/>
      <c r="J39" s="146"/>
      <c r="K39" s="147"/>
      <c r="L39" s="147"/>
      <c r="M39" s="147"/>
      <c r="N39" s="147"/>
      <c r="O39" s="148"/>
      <c r="P39" s="147"/>
      <c r="Q39" s="102"/>
      <c r="X39" s="14"/>
      <c r="Y39" s="14"/>
    </row>
    <row r="40" spans="1:25" ht="12.75">
      <c r="A40" s="100"/>
      <c r="B40" s="101"/>
      <c r="C40" s="183" t="s">
        <v>15</v>
      </c>
      <c r="D40" s="173">
        <f>5223*2</f>
        <v>10446</v>
      </c>
      <c r="E40" s="170"/>
      <c r="F40" s="170">
        <v>662.86</v>
      </c>
      <c r="G40" s="89">
        <v>10590</v>
      </c>
      <c r="H40" s="87">
        <v>3321</v>
      </c>
      <c r="I40" s="103">
        <f>SUM(D40,F40:H40)</f>
        <v>25019.86</v>
      </c>
      <c r="J40" s="173">
        <v>10812</v>
      </c>
      <c r="K40" s="170"/>
      <c r="L40" s="170">
        <v>706.82</v>
      </c>
      <c r="M40" s="89">
        <v>10940</v>
      </c>
      <c r="N40" s="87">
        <f>6786/2</f>
        <v>3393</v>
      </c>
      <c r="O40" s="103">
        <f aca="true" t="shared" si="5" ref="O40:O51">J40+L40+M40+N40</f>
        <v>25851.82</v>
      </c>
      <c r="P40" s="170">
        <f aca="true" t="shared" si="6" ref="P40:P51">O40-I40</f>
        <v>831.9599999999991</v>
      </c>
      <c r="Q40" s="138">
        <f aca="true" t="shared" si="7" ref="Q40:Q51">P40/I40</f>
        <v>0.03325198462341512</v>
      </c>
      <c r="R40" s="19"/>
      <c r="X40" s="14"/>
      <c r="Y40" s="14"/>
    </row>
    <row r="41" spans="1:25" ht="12.75">
      <c r="A41" s="100"/>
      <c r="B41" s="101"/>
      <c r="C41" s="183" t="s">
        <v>36</v>
      </c>
      <c r="D41" s="173">
        <f>5223*2</f>
        <v>10446</v>
      </c>
      <c r="E41" s="170"/>
      <c r="F41" s="172">
        <v>662.86</v>
      </c>
      <c r="G41" s="139">
        <v>10590</v>
      </c>
      <c r="H41" s="87">
        <v>3321</v>
      </c>
      <c r="I41" s="104">
        <f>SUM(D41,F41:H41)</f>
        <v>25019.86</v>
      </c>
      <c r="J41" s="45">
        <v>10812</v>
      </c>
      <c r="K41" s="172"/>
      <c r="L41" s="172">
        <v>706.82</v>
      </c>
      <c r="M41" s="139">
        <v>10940</v>
      </c>
      <c r="N41" s="91">
        <f>6786/2</f>
        <v>3393</v>
      </c>
      <c r="O41" s="104">
        <f t="shared" si="5"/>
        <v>25851.82</v>
      </c>
      <c r="P41" s="172">
        <f t="shared" si="6"/>
        <v>831.9599999999991</v>
      </c>
      <c r="Q41" s="140">
        <f t="shared" si="7"/>
        <v>0.03325198462341512</v>
      </c>
      <c r="R41" s="19"/>
      <c r="X41" s="14"/>
      <c r="Y41" s="14"/>
    </row>
    <row r="42" spans="1:25" ht="12.75">
      <c r="A42" s="105"/>
      <c r="B42" s="106" t="s">
        <v>4</v>
      </c>
      <c r="C42" s="184"/>
      <c r="D42" s="143"/>
      <c r="E42" s="142"/>
      <c r="F42" s="170"/>
      <c r="G42" s="92"/>
      <c r="H42" s="115"/>
      <c r="I42" s="103"/>
      <c r="J42" s="173"/>
      <c r="K42" s="170"/>
      <c r="L42" s="170"/>
      <c r="M42" s="92"/>
      <c r="N42" s="87"/>
      <c r="O42" s="103">
        <f t="shared" si="5"/>
        <v>0</v>
      </c>
      <c r="P42" s="170"/>
      <c r="Q42" s="138"/>
      <c r="R42" s="19"/>
      <c r="X42" s="14"/>
      <c r="Y42" s="14"/>
    </row>
    <row r="43" spans="1:25" ht="12.75">
      <c r="A43" s="100"/>
      <c r="B43" s="101"/>
      <c r="C43" s="183" t="s">
        <v>9</v>
      </c>
      <c r="D43" s="173">
        <f>6720*2</f>
        <v>13440</v>
      </c>
      <c r="E43" s="170"/>
      <c r="F43" s="170">
        <v>662.86</v>
      </c>
      <c r="G43" s="170">
        <v>8910</v>
      </c>
      <c r="H43" s="87">
        <v>3321</v>
      </c>
      <c r="I43" s="103">
        <f aca="true" t="shared" si="8" ref="I43:I51">SUM(D43,F43:H43)</f>
        <v>26333.86</v>
      </c>
      <c r="J43" s="173">
        <v>13704</v>
      </c>
      <c r="K43" s="170"/>
      <c r="L43" s="170">
        <v>706.82</v>
      </c>
      <c r="M43" s="170">
        <v>9072</v>
      </c>
      <c r="N43" s="87">
        <f aca="true" t="shared" si="9" ref="N43:N51">6786/2</f>
        <v>3393</v>
      </c>
      <c r="O43" s="103">
        <f t="shared" si="5"/>
        <v>26875.82</v>
      </c>
      <c r="P43" s="170">
        <f t="shared" si="6"/>
        <v>541.9599999999991</v>
      </c>
      <c r="Q43" s="138">
        <f t="shared" si="7"/>
        <v>0.02058034788671312</v>
      </c>
      <c r="R43" s="19"/>
      <c r="X43" s="14"/>
      <c r="Y43" s="14"/>
    </row>
    <row r="44" spans="1:25" ht="12.75">
      <c r="A44" s="100"/>
      <c r="B44" s="101"/>
      <c r="C44" s="46" t="s">
        <v>10</v>
      </c>
      <c r="D44" s="173">
        <f>7170*2</f>
        <v>14340</v>
      </c>
      <c r="E44" s="170"/>
      <c r="F44" s="170">
        <v>662.86</v>
      </c>
      <c r="G44" s="170">
        <v>8910</v>
      </c>
      <c r="H44" s="87">
        <v>3321</v>
      </c>
      <c r="I44" s="103">
        <f t="shared" si="8"/>
        <v>27233.86</v>
      </c>
      <c r="J44" s="173">
        <v>14628</v>
      </c>
      <c r="K44" s="170"/>
      <c r="L44" s="170">
        <v>706.82</v>
      </c>
      <c r="M44" s="170">
        <v>9072</v>
      </c>
      <c r="N44" s="87">
        <f t="shared" si="9"/>
        <v>3393</v>
      </c>
      <c r="O44" s="103">
        <f t="shared" si="5"/>
        <v>27799.82</v>
      </c>
      <c r="P44" s="170">
        <f t="shared" si="6"/>
        <v>565.9599999999991</v>
      </c>
      <c r="Q44" s="138">
        <f t="shared" si="7"/>
        <v>0.020781483050878544</v>
      </c>
      <c r="R44" s="19"/>
      <c r="X44" s="14"/>
      <c r="Y44" s="14"/>
    </row>
    <row r="45" spans="1:25" ht="12.75">
      <c r="A45" s="100"/>
      <c r="B45" s="101"/>
      <c r="C45" s="46" t="s">
        <v>3</v>
      </c>
      <c r="D45" s="173">
        <f>7170*2</f>
        <v>14340</v>
      </c>
      <c r="E45" s="170"/>
      <c r="F45" s="170">
        <v>662.86</v>
      </c>
      <c r="G45" s="170">
        <v>8910</v>
      </c>
      <c r="H45" s="87">
        <v>3321</v>
      </c>
      <c r="I45" s="103">
        <f t="shared" si="8"/>
        <v>27233.86</v>
      </c>
      <c r="J45" s="173">
        <v>14628</v>
      </c>
      <c r="K45" s="170"/>
      <c r="L45" s="170">
        <v>706.82</v>
      </c>
      <c r="M45" s="170">
        <v>9072</v>
      </c>
      <c r="N45" s="87">
        <f t="shared" si="9"/>
        <v>3393</v>
      </c>
      <c r="O45" s="103">
        <f t="shared" si="5"/>
        <v>27799.82</v>
      </c>
      <c r="P45" s="170">
        <f t="shared" si="6"/>
        <v>565.9599999999991</v>
      </c>
      <c r="Q45" s="138">
        <f t="shared" si="7"/>
        <v>0.020781483050878544</v>
      </c>
      <c r="R45" s="19"/>
      <c r="X45" s="14"/>
      <c r="Y45" s="14"/>
    </row>
    <row r="46" spans="1:25" s="99" customFormat="1" ht="12.75">
      <c r="A46" s="100"/>
      <c r="B46" s="101"/>
      <c r="C46" s="46" t="s">
        <v>73</v>
      </c>
      <c r="D46" s="173">
        <v>10679</v>
      </c>
      <c r="E46" s="170"/>
      <c r="F46" s="170">
        <v>662.86</v>
      </c>
      <c r="G46" s="170">
        <v>8910</v>
      </c>
      <c r="H46" s="87">
        <v>3321</v>
      </c>
      <c r="I46" s="103">
        <f>D46+F46+G46+H46</f>
        <v>23572.86</v>
      </c>
      <c r="J46" s="173">
        <v>10896</v>
      </c>
      <c r="K46" s="170"/>
      <c r="L46" s="170">
        <v>706.82</v>
      </c>
      <c r="M46" s="170">
        <v>9073</v>
      </c>
      <c r="N46" s="87">
        <f t="shared" si="9"/>
        <v>3393</v>
      </c>
      <c r="O46" s="103">
        <f>J46+L46+M46+N46</f>
        <v>24068.82</v>
      </c>
      <c r="P46" s="170">
        <f>O46-I46</f>
        <v>495.9599999999991</v>
      </c>
      <c r="Q46" s="138">
        <f>P46/I46</f>
        <v>0.021039449604333082</v>
      </c>
      <c r="R46" s="19"/>
      <c r="S46" s="98"/>
      <c r="T46" s="98"/>
      <c r="U46" s="98"/>
      <c r="V46" s="98"/>
      <c r="W46" s="98"/>
      <c r="X46" s="98"/>
      <c r="Y46" s="98"/>
    </row>
    <row r="47" spans="1:25" ht="12.75">
      <c r="A47" s="100"/>
      <c r="B47" s="101"/>
      <c r="C47" s="183" t="s">
        <v>37</v>
      </c>
      <c r="D47" s="173">
        <f>7170*2</f>
        <v>14340</v>
      </c>
      <c r="E47" s="170"/>
      <c r="F47" s="170">
        <v>662.86</v>
      </c>
      <c r="G47" s="170">
        <v>8910</v>
      </c>
      <c r="H47" s="87">
        <v>3321</v>
      </c>
      <c r="I47" s="103">
        <f t="shared" si="8"/>
        <v>27233.86</v>
      </c>
      <c r="J47" s="173">
        <v>14628</v>
      </c>
      <c r="K47" s="170"/>
      <c r="L47" s="170">
        <v>706.82</v>
      </c>
      <c r="M47" s="170">
        <v>9072</v>
      </c>
      <c r="N47" s="87">
        <f t="shared" si="9"/>
        <v>3393</v>
      </c>
      <c r="O47" s="103">
        <f t="shared" si="5"/>
        <v>27799.82</v>
      </c>
      <c r="P47" s="170">
        <f t="shared" si="6"/>
        <v>565.9599999999991</v>
      </c>
      <c r="Q47" s="138">
        <f t="shared" si="7"/>
        <v>0.020781483050878544</v>
      </c>
      <c r="R47" s="19"/>
      <c r="X47" s="14"/>
      <c r="Y47" s="14"/>
    </row>
    <row r="48" spans="1:25" ht="13.5" thickBot="1">
      <c r="A48" s="109"/>
      <c r="B48" s="110"/>
      <c r="C48" s="185" t="s">
        <v>11</v>
      </c>
      <c r="D48" s="174">
        <f>7170*2</f>
        <v>14340</v>
      </c>
      <c r="E48" s="171"/>
      <c r="F48" s="171">
        <v>662.86</v>
      </c>
      <c r="G48" s="171">
        <v>8910</v>
      </c>
      <c r="H48" s="95">
        <v>3321</v>
      </c>
      <c r="I48" s="112">
        <f t="shared" si="8"/>
        <v>27233.86</v>
      </c>
      <c r="J48" s="174">
        <v>14628</v>
      </c>
      <c r="K48" s="171"/>
      <c r="L48" s="171">
        <v>706.82</v>
      </c>
      <c r="M48" s="171">
        <v>9072</v>
      </c>
      <c r="N48" s="95">
        <f t="shared" si="9"/>
        <v>3393</v>
      </c>
      <c r="O48" s="112">
        <f t="shared" si="5"/>
        <v>27799.82</v>
      </c>
      <c r="P48" s="171">
        <f t="shared" si="6"/>
        <v>565.9599999999991</v>
      </c>
      <c r="Q48" s="141">
        <f t="shared" si="7"/>
        <v>0.020781483050878544</v>
      </c>
      <c r="R48" s="19"/>
      <c r="X48" s="14"/>
      <c r="Y48" s="14"/>
    </row>
    <row r="49" spans="1:25" ht="12.75">
      <c r="A49" s="100"/>
      <c r="B49" s="101"/>
      <c r="C49" s="101" t="s">
        <v>8</v>
      </c>
      <c r="D49" s="173">
        <f>7170*2</f>
        <v>14340</v>
      </c>
      <c r="E49" s="170"/>
      <c r="F49" s="170">
        <v>662.86</v>
      </c>
      <c r="G49" s="170">
        <v>8910</v>
      </c>
      <c r="H49" s="87">
        <v>3321</v>
      </c>
      <c r="I49" s="103">
        <f t="shared" si="8"/>
        <v>27233.86</v>
      </c>
      <c r="J49" s="173">
        <v>14628</v>
      </c>
      <c r="K49" s="170"/>
      <c r="L49" s="170">
        <v>706.82</v>
      </c>
      <c r="M49" s="170">
        <v>9072</v>
      </c>
      <c r="N49" s="87">
        <f t="shared" si="9"/>
        <v>3393</v>
      </c>
      <c r="O49" s="103">
        <f t="shared" si="5"/>
        <v>27799.82</v>
      </c>
      <c r="P49" s="170">
        <f t="shared" si="6"/>
        <v>565.9599999999991</v>
      </c>
      <c r="Q49" s="138">
        <f t="shared" si="7"/>
        <v>0.020781483050878544</v>
      </c>
      <c r="R49" s="19"/>
      <c r="X49" s="14"/>
      <c r="Y49" s="14"/>
    </row>
    <row r="50" spans="1:25" s="99" customFormat="1" ht="12.75">
      <c r="A50" s="100"/>
      <c r="B50" s="101"/>
      <c r="C50" s="107" t="s">
        <v>74</v>
      </c>
      <c r="D50" s="167" t="s">
        <v>55</v>
      </c>
      <c r="E50" s="116"/>
      <c r="F50" s="116" t="s">
        <v>55</v>
      </c>
      <c r="G50" s="116" t="s">
        <v>55</v>
      </c>
      <c r="H50" s="116" t="s">
        <v>55</v>
      </c>
      <c r="I50" s="168" t="s">
        <v>55</v>
      </c>
      <c r="J50" s="173">
        <v>14880</v>
      </c>
      <c r="K50" s="170"/>
      <c r="L50" s="170">
        <v>706.82</v>
      </c>
      <c r="M50" s="170">
        <v>9073</v>
      </c>
      <c r="N50" s="170">
        <f t="shared" si="9"/>
        <v>3393</v>
      </c>
      <c r="O50" s="103">
        <f>J50+L50+M50+N50</f>
        <v>28052.82</v>
      </c>
      <c r="P50" s="116" t="s">
        <v>55</v>
      </c>
      <c r="Q50" s="168" t="s">
        <v>55</v>
      </c>
      <c r="R50" s="19"/>
      <c r="S50" s="98"/>
      <c r="T50" s="98"/>
      <c r="U50" s="98"/>
      <c r="V50" s="98"/>
      <c r="W50" s="98"/>
      <c r="X50" s="98"/>
      <c r="Y50" s="98"/>
    </row>
    <row r="51" spans="1:25" ht="13.5" thickBot="1">
      <c r="A51" s="109"/>
      <c r="B51" s="110"/>
      <c r="C51" s="110" t="s">
        <v>33</v>
      </c>
      <c r="D51" s="174">
        <f>7296*2</f>
        <v>14592</v>
      </c>
      <c r="E51" s="171"/>
      <c r="F51" s="171">
        <v>662.86</v>
      </c>
      <c r="G51" s="171">
        <v>8910</v>
      </c>
      <c r="H51" s="95">
        <v>3321</v>
      </c>
      <c r="I51" s="112">
        <f t="shared" si="8"/>
        <v>27485.86</v>
      </c>
      <c r="J51" s="174">
        <v>14880</v>
      </c>
      <c r="K51" s="171"/>
      <c r="L51" s="171">
        <v>706.82</v>
      </c>
      <c r="M51" s="171">
        <v>9072</v>
      </c>
      <c r="N51" s="95">
        <f t="shared" si="9"/>
        <v>3393</v>
      </c>
      <c r="O51" s="112">
        <f t="shared" si="5"/>
        <v>28051.82</v>
      </c>
      <c r="P51" s="171">
        <f t="shared" si="6"/>
        <v>565.9599999999991</v>
      </c>
      <c r="Q51" s="141">
        <f t="shared" si="7"/>
        <v>0.020590951129053233</v>
      </c>
      <c r="R51" s="19"/>
      <c r="X51" s="14"/>
      <c r="Y51" s="14"/>
    </row>
    <row r="52" spans="1:25" ht="16.5" thickBot="1">
      <c r="A52" s="158" t="s">
        <v>48</v>
      </c>
      <c r="B52" s="151"/>
      <c r="C52" s="151"/>
      <c r="D52" s="152"/>
      <c r="E52" s="151"/>
      <c r="F52" s="151"/>
      <c r="G52" s="162"/>
      <c r="H52" s="151"/>
      <c r="I52" s="157"/>
      <c r="J52" s="154"/>
      <c r="K52" s="155"/>
      <c r="L52" s="155"/>
      <c r="M52" s="155"/>
      <c r="N52" s="155"/>
      <c r="O52" s="157"/>
      <c r="P52" s="155"/>
      <c r="Q52" s="153"/>
      <c r="X52" s="14"/>
      <c r="Y52" s="14"/>
    </row>
    <row r="53" spans="1:25" ht="12.75">
      <c r="A53" s="100"/>
      <c r="B53" s="101" t="s">
        <v>1</v>
      </c>
      <c r="C53" s="101"/>
      <c r="D53" s="144"/>
      <c r="E53" s="145"/>
      <c r="F53" s="145"/>
      <c r="G53" s="189"/>
      <c r="H53" s="145"/>
      <c r="I53" s="191"/>
      <c r="J53" s="47"/>
      <c r="K53" s="63"/>
      <c r="L53" s="63"/>
      <c r="M53" s="63"/>
      <c r="N53" s="62"/>
      <c r="O53" s="48"/>
      <c r="P53" s="63"/>
      <c r="Q53" s="65"/>
      <c r="X53" s="14"/>
      <c r="Y53" s="14"/>
    </row>
    <row r="54" spans="1:25" ht="12.75">
      <c r="A54" s="100"/>
      <c r="B54" s="101"/>
      <c r="C54" s="101" t="s">
        <v>14</v>
      </c>
      <c r="D54" s="113">
        <v>9828</v>
      </c>
      <c r="E54" s="116"/>
      <c r="F54" s="170">
        <v>266.7</v>
      </c>
      <c r="G54" s="92">
        <v>8910</v>
      </c>
      <c r="H54" s="87">
        <v>3321</v>
      </c>
      <c r="I54" s="117">
        <f>SUM(D54,F54:H54)</f>
        <v>22325.7</v>
      </c>
      <c r="J54" s="173">
        <v>10416</v>
      </c>
      <c r="K54" s="170"/>
      <c r="L54" s="170">
        <v>276.7</v>
      </c>
      <c r="M54" s="170">
        <v>9072</v>
      </c>
      <c r="N54" s="87">
        <f>6786/2</f>
        <v>3393</v>
      </c>
      <c r="O54" s="103">
        <f aca="true" t="shared" si="10" ref="O54:O68">J54+L54+M54+N54</f>
        <v>23157.7</v>
      </c>
      <c r="P54" s="170">
        <f aca="true" t="shared" si="11" ref="P54:P68">O54-I54</f>
        <v>832</v>
      </c>
      <c r="Q54" s="138">
        <f aca="true" t="shared" si="12" ref="Q54:Q68">P54/I54</f>
        <v>0.037266468688551754</v>
      </c>
      <c r="X54" s="14"/>
      <c r="Y54" s="14"/>
    </row>
    <row r="55" spans="1:25" ht="12.75">
      <c r="A55" s="100"/>
      <c r="B55" s="101"/>
      <c r="C55" s="133" t="s">
        <v>56</v>
      </c>
      <c r="D55" s="128">
        <v>5700</v>
      </c>
      <c r="E55" s="129"/>
      <c r="F55" s="172">
        <v>266.7</v>
      </c>
      <c r="G55" s="92">
        <v>8910</v>
      </c>
      <c r="H55" s="87">
        <v>3321</v>
      </c>
      <c r="I55" s="130">
        <f>SUM(D55,F55:H55)</f>
        <v>18197.7</v>
      </c>
      <c r="J55" s="175">
        <v>5880</v>
      </c>
      <c r="K55" s="172"/>
      <c r="L55" s="172">
        <v>276.7</v>
      </c>
      <c r="M55" s="172">
        <v>9072</v>
      </c>
      <c r="N55" s="91">
        <f>6786/2</f>
        <v>3393</v>
      </c>
      <c r="O55" s="104">
        <f t="shared" si="10"/>
        <v>18621.7</v>
      </c>
      <c r="P55" s="172">
        <f t="shared" si="11"/>
        <v>424</v>
      </c>
      <c r="Q55" s="140">
        <f t="shared" si="12"/>
        <v>0.023299647757683662</v>
      </c>
      <c r="X55" s="14"/>
      <c r="Y55" s="14"/>
    </row>
    <row r="56" spans="1:25" ht="12.75">
      <c r="A56" s="105"/>
      <c r="B56" s="106" t="s">
        <v>4</v>
      </c>
      <c r="C56" s="106"/>
      <c r="D56" s="132"/>
      <c r="E56" s="116"/>
      <c r="F56" s="170"/>
      <c r="G56" s="115"/>
      <c r="H56" s="115"/>
      <c r="I56" s="117"/>
      <c r="J56" s="173"/>
      <c r="K56" s="170"/>
      <c r="L56" s="170"/>
      <c r="M56" s="170"/>
      <c r="N56" s="170"/>
      <c r="O56" s="103">
        <f t="shared" si="10"/>
        <v>0</v>
      </c>
      <c r="P56" s="170"/>
      <c r="Q56" s="138"/>
      <c r="X56" s="14"/>
      <c r="Y56" s="14"/>
    </row>
    <row r="57" spans="1:25" ht="12.75">
      <c r="A57" s="100"/>
      <c r="B57" s="101"/>
      <c r="C57" s="101" t="s">
        <v>57</v>
      </c>
      <c r="D57" s="113">
        <v>9276</v>
      </c>
      <c r="E57" s="116"/>
      <c r="F57" s="170">
        <v>266.7</v>
      </c>
      <c r="G57" s="92">
        <v>8910</v>
      </c>
      <c r="H57" s="87">
        <v>3321</v>
      </c>
      <c r="I57" s="117">
        <f>SUM(D57,F57:H57)</f>
        <v>21773.7</v>
      </c>
      <c r="J57" s="173">
        <v>9276</v>
      </c>
      <c r="K57" s="170"/>
      <c r="L57" s="170">
        <v>276.7</v>
      </c>
      <c r="M57" s="170">
        <v>9072</v>
      </c>
      <c r="N57" s="87">
        <f aca="true" t="shared" si="13" ref="N57:N68">6786/2</f>
        <v>3393</v>
      </c>
      <c r="O57" s="103">
        <f t="shared" si="10"/>
        <v>22017.7</v>
      </c>
      <c r="P57" s="170">
        <f t="shared" si="11"/>
        <v>244</v>
      </c>
      <c r="Q57" s="138">
        <f t="shared" si="12"/>
        <v>0.011206179932671066</v>
      </c>
      <c r="S57" s="22"/>
      <c r="X57" s="14"/>
      <c r="Y57" s="14"/>
    </row>
    <row r="58" spans="1:25" ht="12.75">
      <c r="A58" s="100"/>
      <c r="B58" s="101"/>
      <c r="C58" s="101" t="s">
        <v>34</v>
      </c>
      <c r="D58" s="113">
        <v>8028</v>
      </c>
      <c r="E58" s="116"/>
      <c r="F58" s="170">
        <v>266.7</v>
      </c>
      <c r="G58" s="92">
        <v>8910</v>
      </c>
      <c r="H58" s="87">
        <v>3321</v>
      </c>
      <c r="I58" s="117">
        <f>SUM(D58,F58:H58)</f>
        <v>20525.7</v>
      </c>
      <c r="J58" s="173">
        <v>8820</v>
      </c>
      <c r="K58" s="170"/>
      <c r="L58" s="170">
        <v>276.7</v>
      </c>
      <c r="M58" s="170">
        <v>9072</v>
      </c>
      <c r="N58" s="87">
        <f t="shared" si="13"/>
        <v>3393</v>
      </c>
      <c r="O58" s="103">
        <f t="shared" si="10"/>
        <v>21561.7</v>
      </c>
      <c r="P58" s="170">
        <f t="shared" si="11"/>
        <v>1036</v>
      </c>
      <c r="Q58" s="138">
        <f t="shared" si="12"/>
        <v>0.050473309071067</v>
      </c>
      <c r="S58" s="22"/>
      <c r="X58" s="14"/>
      <c r="Y58" s="14"/>
    </row>
    <row r="59" spans="1:25" ht="12.75">
      <c r="A59" s="100"/>
      <c r="B59" s="101"/>
      <c r="C59" s="101" t="s">
        <v>49</v>
      </c>
      <c r="D59" s="113">
        <v>14580</v>
      </c>
      <c r="E59" s="116"/>
      <c r="F59" s="170">
        <v>266.7</v>
      </c>
      <c r="G59" s="92">
        <v>8910</v>
      </c>
      <c r="H59" s="87">
        <v>3321</v>
      </c>
      <c r="I59" s="117">
        <f>SUM(D59,F59:H59)</f>
        <v>27077.7</v>
      </c>
      <c r="J59" s="113">
        <v>14580</v>
      </c>
      <c r="K59" s="170"/>
      <c r="L59" s="170">
        <v>276.7</v>
      </c>
      <c r="M59" s="170">
        <v>9072</v>
      </c>
      <c r="N59" s="87">
        <f t="shared" si="13"/>
        <v>3393</v>
      </c>
      <c r="O59" s="103">
        <f t="shared" si="10"/>
        <v>27321.7</v>
      </c>
      <c r="P59" s="170">
        <f t="shared" si="11"/>
        <v>244</v>
      </c>
      <c r="Q59" s="138">
        <f t="shared" si="12"/>
        <v>0.00901110507908722</v>
      </c>
      <c r="S59" s="22"/>
      <c r="X59" s="14"/>
      <c r="Y59" s="14"/>
    </row>
    <row r="60" spans="1:25" ht="12.75">
      <c r="A60" s="100"/>
      <c r="B60" s="101"/>
      <c r="C60" s="101" t="s">
        <v>50</v>
      </c>
      <c r="D60" s="113">
        <v>12816</v>
      </c>
      <c r="E60" s="116"/>
      <c r="F60" s="170">
        <v>266.7</v>
      </c>
      <c r="G60" s="92">
        <v>8910</v>
      </c>
      <c r="H60" s="87">
        <v>3321</v>
      </c>
      <c r="I60" s="117">
        <f>SUM(D60,F60:H60)</f>
        <v>25313.7</v>
      </c>
      <c r="J60" s="113">
        <v>12816</v>
      </c>
      <c r="K60" s="170"/>
      <c r="L60" s="170">
        <v>276.7</v>
      </c>
      <c r="M60" s="170">
        <v>9072</v>
      </c>
      <c r="N60" s="87">
        <f t="shared" si="13"/>
        <v>3393</v>
      </c>
      <c r="O60" s="103">
        <f t="shared" si="10"/>
        <v>25557.7</v>
      </c>
      <c r="P60" s="170">
        <f t="shared" si="11"/>
        <v>244</v>
      </c>
      <c r="Q60" s="138">
        <f t="shared" si="12"/>
        <v>0.009639049210506564</v>
      </c>
      <c r="S60" s="22"/>
      <c r="X60" s="14"/>
      <c r="Y60" s="14"/>
    </row>
    <row r="61" spans="1:25" ht="12.75">
      <c r="A61" s="100"/>
      <c r="B61" s="101"/>
      <c r="C61" s="107" t="s">
        <v>61</v>
      </c>
      <c r="D61" s="113">
        <v>12816</v>
      </c>
      <c r="E61" s="116"/>
      <c r="F61" s="170">
        <v>266.7</v>
      </c>
      <c r="G61" s="92">
        <v>8910</v>
      </c>
      <c r="H61" s="87">
        <v>3321</v>
      </c>
      <c r="I61" s="117">
        <f>SUM(D61,F61:H61)</f>
        <v>25313.7</v>
      </c>
      <c r="J61" s="113">
        <v>12816</v>
      </c>
      <c r="K61" s="170"/>
      <c r="L61" s="170">
        <v>276.7</v>
      </c>
      <c r="M61" s="170">
        <v>9072</v>
      </c>
      <c r="N61" s="87">
        <f t="shared" si="13"/>
        <v>3393</v>
      </c>
      <c r="O61" s="103">
        <f t="shared" si="10"/>
        <v>25557.7</v>
      </c>
      <c r="P61" s="170">
        <f t="shared" si="11"/>
        <v>244</v>
      </c>
      <c r="Q61" s="138">
        <f t="shared" si="12"/>
        <v>0.009639049210506564</v>
      </c>
      <c r="S61" s="22"/>
      <c r="X61" s="14"/>
      <c r="Y61" s="14"/>
    </row>
    <row r="62" spans="1:25" ht="12.75">
      <c r="A62" s="100"/>
      <c r="B62" s="101"/>
      <c r="C62" s="107" t="s">
        <v>62</v>
      </c>
      <c r="D62" s="113">
        <v>14580</v>
      </c>
      <c r="E62" s="116"/>
      <c r="F62" s="170">
        <v>266.7</v>
      </c>
      <c r="G62" s="89">
        <v>8910</v>
      </c>
      <c r="H62" s="87">
        <v>3321</v>
      </c>
      <c r="I62" s="117">
        <f aca="true" t="shared" si="14" ref="I62:I68">SUM(D62,F62:H62)</f>
        <v>27077.7</v>
      </c>
      <c r="J62" s="113">
        <v>14580</v>
      </c>
      <c r="K62" s="170"/>
      <c r="L62" s="170">
        <v>276.7</v>
      </c>
      <c r="M62" s="170">
        <v>9072</v>
      </c>
      <c r="N62" s="87">
        <f t="shared" si="13"/>
        <v>3393</v>
      </c>
      <c r="O62" s="103">
        <f t="shared" si="10"/>
        <v>27321.7</v>
      </c>
      <c r="P62" s="170">
        <f t="shared" si="11"/>
        <v>244</v>
      </c>
      <c r="Q62" s="138">
        <f t="shared" si="12"/>
        <v>0.00901110507908722</v>
      </c>
      <c r="S62" s="22"/>
      <c r="X62" s="14"/>
      <c r="Y62" s="14"/>
    </row>
    <row r="63" spans="1:25" ht="12.75">
      <c r="A63" s="100"/>
      <c r="B63" s="101"/>
      <c r="C63" s="101" t="s">
        <v>30</v>
      </c>
      <c r="D63" s="113">
        <v>13056</v>
      </c>
      <c r="E63" s="116"/>
      <c r="F63" s="170">
        <v>266.7</v>
      </c>
      <c r="G63" s="92">
        <v>8910</v>
      </c>
      <c r="H63" s="87">
        <v>3321</v>
      </c>
      <c r="I63" s="117">
        <f t="shared" si="14"/>
        <v>25553.7</v>
      </c>
      <c r="J63" s="173">
        <v>13056</v>
      </c>
      <c r="K63" s="170"/>
      <c r="L63" s="170">
        <v>276.7</v>
      </c>
      <c r="M63" s="170">
        <v>9072</v>
      </c>
      <c r="N63" s="87">
        <f t="shared" si="13"/>
        <v>3393</v>
      </c>
      <c r="O63" s="103">
        <f t="shared" si="10"/>
        <v>25797.7</v>
      </c>
      <c r="P63" s="170">
        <f t="shared" si="11"/>
        <v>244</v>
      </c>
      <c r="Q63" s="138">
        <f t="shared" si="12"/>
        <v>0.00954851939249502</v>
      </c>
      <c r="S63" s="22"/>
      <c r="X63" s="14"/>
      <c r="Y63" s="14"/>
    </row>
    <row r="64" spans="1:25" ht="12.75">
      <c r="A64" s="100"/>
      <c r="B64" s="101"/>
      <c r="C64" s="101" t="s">
        <v>63</v>
      </c>
      <c r="D64" s="113">
        <v>12300</v>
      </c>
      <c r="E64" s="116"/>
      <c r="F64" s="170">
        <v>266.7</v>
      </c>
      <c r="G64" s="92">
        <v>8910</v>
      </c>
      <c r="H64" s="87">
        <v>3321</v>
      </c>
      <c r="I64" s="117">
        <f t="shared" si="14"/>
        <v>24797.7</v>
      </c>
      <c r="J64" s="173">
        <v>12792</v>
      </c>
      <c r="K64" s="170"/>
      <c r="L64" s="170">
        <v>276.7</v>
      </c>
      <c r="M64" s="170">
        <v>9072</v>
      </c>
      <c r="N64" s="87">
        <f t="shared" si="13"/>
        <v>3393</v>
      </c>
      <c r="O64" s="103">
        <f t="shared" si="10"/>
        <v>25533.7</v>
      </c>
      <c r="P64" s="170">
        <f t="shared" si="11"/>
        <v>736</v>
      </c>
      <c r="Q64" s="138">
        <f t="shared" si="12"/>
        <v>0.029680171951430977</v>
      </c>
      <c r="S64" s="22"/>
      <c r="X64" s="14"/>
      <c r="Y64" s="14"/>
    </row>
    <row r="65" spans="1:25" ht="12.75">
      <c r="A65" s="100"/>
      <c r="B65" s="101"/>
      <c r="C65" s="101" t="s">
        <v>75</v>
      </c>
      <c r="D65" s="113">
        <v>8040</v>
      </c>
      <c r="E65" s="116"/>
      <c r="F65" s="170">
        <v>266.7</v>
      </c>
      <c r="G65" s="92">
        <v>8910</v>
      </c>
      <c r="H65" s="87">
        <v>3321</v>
      </c>
      <c r="I65" s="117">
        <f t="shared" si="14"/>
        <v>20537.7</v>
      </c>
      <c r="J65" s="173">
        <v>8040</v>
      </c>
      <c r="K65" s="170"/>
      <c r="L65" s="170">
        <v>276.7</v>
      </c>
      <c r="M65" s="170">
        <v>9072</v>
      </c>
      <c r="N65" s="87">
        <f t="shared" si="13"/>
        <v>3393</v>
      </c>
      <c r="O65" s="103">
        <f t="shared" si="10"/>
        <v>20781.7</v>
      </c>
      <c r="P65" s="170">
        <f t="shared" si="11"/>
        <v>244</v>
      </c>
      <c r="Q65" s="138">
        <f t="shared" si="12"/>
        <v>0.011880590329004709</v>
      </c>
      <c r="S65" s="22"/>
      <c r="X65" s="14"/>
      <c r="Y65" s="14"/>
    </row>
    <row r="66" spans="1:25" ht="12.75">
      <c r="A66" s="100"/>
      <c r="B66" s="101"/>
      <c r="C66" s="107" t="s">
        <v>51</v>
      </c>
      <c r="D66" s="113">
        <v>11880</v>
      </c>
      <c r="E66" s="116"/>
      <c r="F66" s="170">
        <v>266.7</v>
      </c>
      <c r="G66" s="92">
        <v>8910</v>
      </c>
      <c r="H66" s="87">
        <v>3321</v>
      </c>
      <c r="I66" s="117">
        <f t="shared" si="14"/>
        <v>24377.7</v>
      </c>
      <c r="J66" s="173">
        <v>12240</v>
      </c>
      <c r="K66" s="170"/>
      <c r="L66" s="170">
        <v>276.7</v>
      </c>
      <c r="M66" s="170">
        <v>9072</v>
      </c>
      <c r="N66" s="87">
        <f t="shared" si="13"/>
        <v>3393</v>
      </c>
      <c r="O66" s="103">
        <f t="shared" si="10"/>
        <v>24981.7</v>
      </c>
      <c r="P66" s="170">
        <f t="shared" si="11"/>
        <v>604</v>
      </c>
      <c r="Q66" s="138">
        <f t="shared" si="12"/>
        <v>0.024776742678759685</v>
      </c>
      <c r="S66" s="22"/>
      <c r="X66" s="14"/>
      <c r="Y66" s="14"/>
    </row>
    <row r="67" spans="1:25" ht="12.75">
      <c r="A67" s="100"/>
      <c r="B67" s="101"/>
      <c r="C67" s="107" t="s">
        <v>52</v>
      </c>
      <c r="D67" s="113">
        <v>11880</v>
      </c>
      <c r="E67" s="116"/>
      <c r="F67" s="170">
        <v>266.7</v>
      </c>
      <c r="G67" s="89">
        <v>8910</v>
      </c>
      <c r="H67" s="87">
        <v>3321</v>
      </c>
      <c r="I67" s="117">
        <f t="shared" si="14"/>
        <v>24377.7</v>
      </c>
      <c r="J67" s="173">
        <v>12240</v>
      </c>
      <c r="K67" s="170"/>
      <c r="L67" s="170">
        <v>276.7</v>
      </c>
      <c r="M67" s="170">
        <v>9072</v>
      </c>
      <c r="N67" s="87">
        <f t="shared" si="13"/>
        <v>3393</v>
      </c>
      <c r="O67" s="103">
        <f t="shared" si="10"/>
        <v>24981.7</v>
      </c>
      <c r="P67" s="170">
        <f t="shared" si="11"/>
        <v>604</v>
      </c>
      <c r="Q67" s="138">
        <f t="shared" si="12"/>
        <v>0.024776742678759685</v>
      </c>
      <c r="S67" s="22"/>
      <c r="X67" s="14"/>
      <c r="Y67" s="14"/>
    </row>
    <row r="68" spans="1:25" ht="14.25">
      <c r="A68" s="100"/>
      <c r="B68" s="101"/>
      <c r="C68" s="107" t="s">
        <v>58</v>
      </c>
      <c r="D68" s="128">
        <f>3786*2</f>
        <v>7572</v>
      </c>
      <c r="E68" s="129"/>
      <c r="F68" s="172">
        <v>266.7</v>
      </c>
      <c r="G68" s="131">
        <v>8910</v>
      </c>
      <c r="H68" s="91">
        <v>3321</v>
      </c>
      <c r="I68" s="130">
        <f t="shared" si="14"/>
        <v>20069.7</v>
      </c>
      <c r="J68" s="50">
        <v>7644</v>
      </c>
      <c r="K68" s="73"/>
      <c r="L68" s="73">
        <v>276.7</v>
      </c>
      <c r="M68" s="172">
        <v>9072</v>
      </c>
      <c r="N68" s="91">
        <f t="shared" si="13"/>
        <v>3393</v>
      </c>
      <c r="O68" s="104">
        <f t="shared" si="10"/>
        <v>20385.7</v>
      </c>
      <c r="P68" s="172">
        <f t="shared" si="11"/>
        <v>316</v>
      </c>
      <c r="Q68" s="140">
        <f t="shared" si="12"/>
        <v>0.015745128228124985</v>
      </c>
      <c r="X68" s="14"/>
      <c r="Y68" s="14"/>
    </row>
    <row r="69" spans="1:25" ht="12.75">
      <c r="A69" s="105"/>
      <c r="B69" s="106" t="s">
        <v>12</v>
      </c>
      <c r="C69" s="106"/>
      <c r="D69" s="192"/>
      <c r="E69" s="188"/>
      <c r="F69" s="188"/>
      <c r="G69" s="188"/>
      <c r="H69" s="188"/>
      <c r="I69" s="168"/>
      <c r="J69" s="173"/>
      <c r="K69" s="170"/>
      <c r="L69" s="170"/>
      <c r="M69" s="170"/>
      <c r="N69" s="170"/>
      <c r="O69" s="103"/>
      <c r="P69" s="170"/>
      <c r="Q69" s="138"/>
      <c r="X69" s="14"/>
      <c r="Y69" s="14"/>
    </row>
    <row r="70" spans="1:25" ht="12.75">
      <c r="A70" s="100"/>
      <c r="B70" s="101"/>
      <c r="C70" s="107" t="s">
        <v>53</v>
      </c>
      <c r="D70" s="150" t="s">
        <v>55</v>
      </c>
      <c r="E70" s="116"/>
      <c r="F70" s="124" t="s">
        <v>55</v>
      </c>
      <c r="G70" s="124" t="s">
        <v>55</v>
      </c>
      <c r="H70" s="124" t="s">
        <v>55</v>
      </c>
      <c r="I70" s="125" t="s">
        <v>55</v>
      </c>
      <c r="J70" s="150" t="s">
        <v>55</v>
      </c>
      <c r="K70" s="116"/>
      <c r="L70" s="124" t="s">
        <v>55</v>
      </c>
      <c r="M70" s="124" t="s">
        <v>55</v>
      </c>
      <c r="N70" s="124" t="s">
        <v>55</v>
      </c>
      <c r="O70" s="125" t="s">
        <v>55</v>
      </c>
      <c r="P70" s="124" t="s">
        <v>55</v>
      </c>
      <c r="Q70" s="125" t="s">
        <v>55</v>
      </c>
      <c r="X70" s="14"/>
      <c r="Y70" s="14"/>
    </row>
    <row r="71" spans="1:25" ht="12.75">
      <c r="A71" s="100"/>
      <c r="B71" s="101"/>
      <c r="C71" s="107" t="s">
        <v>54</v>
      </c>
      <c r="D71" s="150" t="s">
        <v>55</v>
      </c>
      <c r="E71" s="116"/>
      <c r="F71" s="124" t="s">
        <v>55</v>
      </c>
      <c r="G71" s="124" t="s">
        <v>55</v>
      </c>
      <c r="H71" s="124" t="s">
        <v>55</v>
      </c>
      <c r="I71" s="125" t="s">
        <v>55</v>
      </c>
      <c r="J71" s="150" t="s">
        <v>55</v>
      </c>
      <c r="K71" s="116"/>
      <c r="L71" s="124" t="s">
        <v>55</v>
      </c>
      <c r="M71" s="124" t="s">
        <v>55</v>
      </c>
      <c r="N71" s="124" t="s">
        <v>55</v>
      </c>
      <c r="O71" s="125" t="s">
        <v>55</v>
      </c>
      <c r="P71" s="124" t="s">
        <v>55</v>
      </c>
      <c r="Q71" s="125" t="s">
        <v>55</v>
      </c>
      <c r="X71" s="14"/>
      <c r="Y71" s="14"/>
    </row>
    <row r="72" spans="1:25" ht="12.75">
      <c r="A72" s="100"/>
      <c r="B72" s="101"/>
      <c r="C72" s="136" t="s">
        <v>45</v>
      </c>
      <c r="D72" s="150" t="s">
        <v>55</v>
      </c>
      <c r="E72" s="116"/>
      <c r="F72" s="124" t="s">
        <v>55</v>
      </c>
      <c r="G72" s="124" t="s">
        <v>55</v>
      </c>
      <c r="H72" s="124" t="s">
        <v>55</v>
      </c>
      <c r="I72" s="125" t="s">
        <v>55</v>
      </c>
      <c r="J72" s="150" t="s">
        <v>55</v>
      </c>
      <c r="K72" s="116"/>
      <c r="L72" s="124" t="s">
        <v>55</v>
      </c>
      <c r="M72" s="124" t="s">
        <v>55</v>
      </c>
      <c r="N72" s="124" t="s">
        <v>55</v>
      </c>
      <c r="O72" s="125" t="s">
        <v>55</v>
      </c>
      <c r="P72" s="124" t="s">
        <v>55</v>
      </c>
      <c r="Q72" s="125" t="s">
        <v>55</v>
      </c>
      <c r="X72" s="14"/>
      <c r="Y72" s="14"/>
    </row>
    <row r="73" spans="1:25" s="1" customFormat="1" ht="12.75">
      <c r="A73" s="100"/>
      <c r="B73" s="101"/>
      <c r="C73" s="136" t="s">
        <v>38</v>
      </c>
      <c r="D73" s="150" t="s">
        <v>55</v>
      </c>
      <c r="E73" s="116"/>
      <c r="F73" s="124" t="s">
        <v>55</v>
      </c>
      <c r="G73" s="124" t="s">
        <v>55</v>
      </c>
      <c r="H73" s="124" t="s">
        <v>55</v>
      </c>
      <c r="I73" s="125" t="s">
        <v>55</v>
      </c>
      <c r="J73" s="150" t="s">
        <v>55</v>
      </c>
      <c r="K73" s="116"/>
      <c r="L73" s="124" t="s">
        <v>55</v>
      </c>
      <c r="M73" s="124" t="s">
        <v>55</v>
      </c>
      <c r="N73" s="124" t="s">
        <v>55</v>
      </c>
      <c r="O73" s="125" t="s">
        <v>55</v>
      </c>
      <c r="P73" s="124" t="s">
        <v>55</v>
      </c>
      <c r="Q73" s="125" t="s">
        <v>55</v>
      </c>
      <c r="R73" s="2"/>
      <c r="S73" s="2"/>
      <c r="T73" s="2"/>
      <c r="U73" s="2"/>
      <c r="V73" s="2"/>
      <c r="W73" s="2"/>
      <c r="X73" s="2"/>
      <c r="Y73" s="2"/>
    </row>
    <row r="74" spans="1:25" s="79" customFormat="1" ht="13.5" thickBot="1">
      <c r="A74" s="109"/>
      <c r="B74" s="110"/>
      <c r="C74" s="137" t="s">
        <v>46</v>
      </c>
      <c r="D74" s="149" t="s">
        <v>55</v>
      </c>
      <c r="E74" s="126"/>
      <c r="F74" s="127" t="s">
        <v>55</v>
      </c>
      <c r="G74" s="127" t="s">
        <v>55</v>
      </c>
      <c r="H74" s="127" t="s">
        <v>55</v>
      </c>
      <c r="I74" s="114" t="s">
        <v>55</v>
      </c>
      <c r="J74" s="149" t="s">
        <v>55</v>
      </c>
      <c r="K74" s="126"/>
      <c r="L74" s="127" t="s">
        <v>55</v>
      </c>
      <c r="M74" s="127" t="s">
        <v>55</v>
      </c>
      <c r="N74" s="127" t="s">
        <v>55</v>
      </c>
      <c r="O74" s="114" t="s">
        <v>55</v>
      </c>
      <c r="P74" s="127" t="s">
        <v>55</v>
      </c>
      <c r="Q74" s="114" t="s">
        <v>55</v>
      </c>
      <c r="R74" s="80"/>
      <c r="S74" s="80"/>
      <c r="T74" s="80"/>
      <c r="U74" s="80"/>
      <c r="V74" s="80"/>
      <c r="W74" s="80"/>
      <c r="X74" s="80"/>
      <c r="Y74" s="80"/>
    </row>
    <row r="75" spans="1:25" s="13" customFormat="1" ht="14.25" customHeight="1">
      <c r="A75" s="107"/>
      <c r="B75" s="83" t="s">
        <v>26</v>
      </c>
      <c r="C75" s="107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11"/>
      <c r="R75" s="96"/>
      <c r="S75" s="96"/>
      <c r="T75" s="96"/>
      <c r="U75" s="96"/>
      <c r="V75" s="96"/>
      <c r="W75" s="96"/>
      <c r="X75" s="96"/>
      <c r="Y75" s="96"/>
    </row>
    <row r="76" spans="1:25" s="97" customFormat="1" ht="14.25" customHeight="1">
      <c r="A76" s="107"/>
      <c r="B76" s="83"/>
      <c r="C76" s="227" t="s">
        <v>66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96"/>
      <c r="S76" s="96"/>
      <c r="T76" s="96"/>
      <c r="U76" s="96"/>
      <c r="V76" s="96"/>
      <c r="W76" s="96"/>
      <c r="X76" s="96"/>
      <c r="Y76" s="96"/>
    </row>
    <row r="77" spans="1:25" s="13" customFormat="1" ht="12.75">
      <c r="A77" s="97"/>
      <c r="B77" s="97"/>
      <c r="C77" s="227" t="s">
        <v>78</v>
      </c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8"/>
      <c r="R77" s="96"/>
      <c r="S77" s="96"/>
      <c r="T77" s="96"/>
      <c r="U77" s="96"/>
      <c r="V77" s="96"/>
      <c r="W77" s="96"/>
      <c r="X77" s="96"/>
      <c r="Y77" s="96"/>
    </row>
    <row r="78" spans="1:25" s="13" customFormat="1" ht="12.75" customHeight="1">
      <c r="A78" s="97"/>
      <c r="B78" s="97"/>
      <c r="C78" s="265" t="s">
        <v>60</v>
      </c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96"/>
      <c r="S78" s="96"/>
      <c r="T78" s="96"/>
      <c r="U78" s="96"/>
      <c r="V78" s="96"/>
      <c r="W78" s="96"/>
      <c r="X78" s="96"/>
      <c r="Y78" s="96"/>
    </row>
    <row r="79" spans="1:25" s="13" customFormat="1" ht="12.75">
      <c r="A79" s="97"/>
      <c r="B79" s="97"/>
      <c r="C79" s="225" t="s">
        <v>27</v>
      </c>
      <c r="D79" s="225"/>
      <c r="E79" s="225"/>
      <c r="F79" s="225"/>
      <c r="G79" s="225"/>
      <c r="H79" s="225"/>
      <c r="I79" s="229"/>
      <c r="J79" s="225"/>
      <c r="K79" s="225"/>
      <c r="L79" s="225"/>
      <c r="M79" s="225"/>
      <c r="N79" s="225"/>
      <c r="O79" s="229"/>
      <c r="P79" s="225"/>
      <c r="Q79" s="229"/>
      <c r="R79" s="96"/>
      <c r="S79" s="96"/>
      <c r="T79" s="96"/>
      <c r="U79" s="96"/>
      <c r="V79" s="96"/>
      <c r="W79" s="96"/>
      <c r="X79" s="97"/>
      <c r="Y79" s="97"/>
    </row>
    <row r="80" spans="1:25" ht="15.75" customHeight="1">
      <c r="A80" s="99"/>
      <c r="B80" s="99"/>
      <c r="C80" s="225" t="s">
        <v>81</v>
      </c>
      <c r="D80" s="225"/>
      <c r="E80" s="225"/>
      <c r="F80" s="225"/>
      <c r="G80" s="225"/>
      <c r="H80" s="225"/>
      <c r="I80" s="229"/>
      <c r="J80" s="225"/>
      <c r="K80" s="225"/>
      <c r="L80" s="225"/>
      <c r="M80" s="225"/>
      <c r="N80" s="225"/>
      <c r="O80" s="229"/>
      <c r="P80" s="225"/>
      <c r="Q80" s="229"/>
      <c r="R80" s="98"/>
      <c r="S80" s="98"/>
      <c r="T80" s="98"/>
      <c r="U80" s="98"/>
      <c r="V80" s="98"/>
      <c r="W80" s="98"/>
      <c r="X80" s="99"/>
      <c r="Y80" s="99"/>
    </row>
    <row r="81" spans="1:25" ht="12.75">
      <c r="A81" s="99"/>
      <c r="B81" s="99"/>
      <c r="C81" s="227" t="s">
        <v>82</v>
      </c>
      <c r="D81" s="225"/>
      <c r="E81" s="225"/>
      <c r="F81" s="225"/>
      <c r="G81" s="225"/>
      <c r="H81" s="225"/>
      <c r="I81" s="229"/>
      <c r="J81" s="225"/>
      <c r="K81" s="225"/>
      <c r="L81" s="225"/>
      <c r="M81" s="225"/>
      <c r="N81" s="225"/>
      <c r="O81" s="229"/>
      <c r="P81" s="225"/>
      <c r="Q81" s="229"/>
      <c r="R81" s="98"/>
      <c r="S81" s="98"/>
      <c r="T81" s="98"/>
      <c r="U81" s="98"/>
      <c r="V81" s="98"/>
      <c r="W81" s="98"/>
      <c r="X81" s="99"/>
      <c r="Y81" s="99"/>
    </row>
    <row r="82" spans="3:17" ht="12.75">
      <c r="C82" s="226" t="s">
        <v>64</v>
      </c>
      <c r="D82" s="225"/>
      <c r="E82" s="225"/>
      <c r="F82" s="225"/>
      <c r="G82" s="225"/>
      <c r="H82" s="225"/>
      <c r="I82" s="229"/>
      <c r="J82" s="225"/>
      <c r="K82" s="225"/>
      <c r="L82" s="225"/>
      <c r="M82" s="225"/>
      <c r="N82" s="225"/>
      <c r="O82" s="229"/>
      <c r="P82" s="225"/>
      <c r="Q82" s="229"/>
    </row>
  </sheetData>
  <sheetProtection/>
  <mergeCells count="9">
    <mergeCell ref="C78:Q78"/>
    <mergeCell ref="P4:Q4"/>
    <mergeCell ref="D7:E7"/>
    <mergeCell ref="J7:K7"/>
    <mergeCell ref="D5:I5"/>
    <mergeCell ref="J5:O5"/>
    <mergeCell ref="P5:Q5"/>
    <mergeCell ref="D6:E6"/>
    <mergeCell ref="J6:K6"/>
  </mergeCells>
  <printOptions horizontalCentered="1"/>
  <pageMargins left="0.25" right="0.25" top="0.75" bottom="0.75" header="0.3" footer="0.3"/>
  <pageSetup fitToHeight="2" horizontalDpi="600" verticalDpi="600" orientation="landscape" scale="76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Fox</dc:creator>
  <cp:keywords/>
  <dc:description/>
  <cp:lastModifiedBy>Jill Taylor</cp:lastModifiedBy>
  <cp:lastPrinted>2014-08-07T16:00:59Z</cp:lastPrinted>
  <dcterms:created xsi:type="dcterms:W3CDTF">2003-05-29T18:39:21Z</dcterms:created>
  <dcterms:modified xsi:type="dcterms:W3CDTF">2014-08-07T16:03:45Z</dcterms:modified>
  <cp:category/>
  <cp:version/>
  <cp:contentType/>
  <cp:contentStatus/>
</cp:coreProperties>
</file>